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<sst xmlns="http://schemas.openxmlformats.org/spreadsheetml/2006/main" count="167" uniqueCount="120">
  <si>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</si>
  <si>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</si>
  <si>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</si>
  <si>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</si>
  <si>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</si>
  <si>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</si>
  <si>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</si>
  <si>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</si>
  <si>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</si>
  <si>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</si>
  <si>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</si>
  <si>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</si>
  <si>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</si>
  <si>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</si>
  <si>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</si>
  <si>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</si>
  <si>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</si>
  <si>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</si>
  <si>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</si>
  <si>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</si>
  <si>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</si>
  <si>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</si>
  <si>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</si>
  <si>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</si>
  <si>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</si>
  <si>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</si>
  <si>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</si>
  <si>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</si>
  <si>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</si>
  <si>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</si>
  <si>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</si>
  <si>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</si>
  <si>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</si>
  <si>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</si>
  <si>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</si>
  <si>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</si>
  <si>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</si>
  <si>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</si>
  <si>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</si>
  <si>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</si>
  <si>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</si>
  <si>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</si>
  <si>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</si>
  <si>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</si>
  <si>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</si>
  <si>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</si>
  <si>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</si>
  <si>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</si>
  <si>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</si>
  <si>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</si>
  <si>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</si>
  <si>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</si>
  <si>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</si>
  <si>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</si>
  <si>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</si>
  <si>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</si>
  <si>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</si>
  <si>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</si>
  <si>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</si>
  <si>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</si>
  <si>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</si>
  <si>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</si>
  <si>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</si>
  <si>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</si>
  <si>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</si>
  <si>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</si>
  <si>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</si>
  <si>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</si>
  <si>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</si>
  <si>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</si>
  <si>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</si>
  <si>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</si>
  <si>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</si>
  <si>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</si>
  <si>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</si>
  <si>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</si>
  <si>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</si>
  <si>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</si>
  <si>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</si>
  <si>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</si>
  <si>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</si>
  <si>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</si>
  <si>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</si>
  <si>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</si>
  <si>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</si>
  <si>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</si>
  <si>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</si>
  <si>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</si>
  <si>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</si>
  <si>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</si>
  <si>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</si>
  <si>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</si>
  <si>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</si>
  <si>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</si>
  <si>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</si>
  <si>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</si>
  <si>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</si>
  <si>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</si>
  <si>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</si>
  <si>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</si>
  <si>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</si>
  <si>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</si>
  <si>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</si>
  <si>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</si>
  <si>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</si>
  <si>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</si>
  <si>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</si>
  <si>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</si>
  <si>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</si>
  <si>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</si>
  <si>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</si>
  <si>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</si>
  <si>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</si>
  <si>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Пільгове перевезення (170102)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</si>
  <si>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</si>
  <si>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</si>
  <si>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</si>
  <si>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</si>
  <si>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</si>
  <si>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Аналіз використання коштів міського бюджету за 2015 рік станом на 17.08.2015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</si>
</sst>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48771.1</c:v>
                </c:pt>
                <c:pt idx="1">
                  <c:v>39638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27233.5</c:v>
                </c:pt>
                <c:pt idx="1">
                  <c:v>23401.900000000005</c:v>
                </c:pt>
                <c:pt idx="2">
                  <c:v>995.1999999999999</c:v>
                </c:pt>
                <c:pt idx="3">
                  <c:v>2836.399999999995</c:v>
                </c:pt>
              </c:numCache>
            </c:numRef>
          </c:val>
          <c:shape val="box"/>
        </c:ser>
        <c:shape val="box"/>
        <c:axId val="49273707"/>
        <c:axId val="57137876"/>
      </c:bar3DChart>
      <c:catAx>
        <c:axId val="4927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37876"/>
        <c:crosses val="autoZero"/>
        <c:auto val="1"/>
        <c:lblOffset val="100"/>
        <c:tickLblSkip val="1"/>
        <c:noMultiLvlLbl val="0"/>
      </c:catAx>
      <c:valAx>
        <c:axId val="57137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737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339511.69999999995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3690.199999999952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206566.2</c:v>
                </c:pt>
                <c:pt idx="1">
                  <c:v>105853.20000000001</c:v>
                </c:pt>
                <c:pt idx="2">
                  <c:v>157436.89999999997</c:v>
                </c:pt>
                <c:pt idx="3">
                  <c:v>9</c:v>
                </c:pt>
                <c:pt idx="4">
                  <c:v>10149.799999999997</c:v>
                </c:pt>
                <c:pt idx="5">
                  <c:v>36829.20000000001</c:v>
                </c:pt>
                <c:pt idx="6">
                  <c:v>185.2</c:v>
                </c:pt>
                <c:pt idx="7">
                  <c:v>1956.1000000000392</c:v>
                </c:pt>
              </c:numCache>
            </c:numRef>
          </c:val>
          <c:shape val="box"/>
        </c:ser>
        <c:shape val="box"/>
        <c:axId val="35633461"/>
        <c:axId val="17841358"/>
      </c:bar3DChart>
      <c:catAx>
        <c:axId val="3563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41358"/>
        <c:crosses val="autoZero"/>
        <c:auto val="1"/>
        <c:lblOffset val="100"/>
        <c:tickLblSkip val="1"/>
        <c:noMultiLvlLbl val="0"/>
      </c:catAx>
      <c:valAx>
        <c:axId val="17841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334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12691.4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14823.900000000018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126543.39999999997</c:v>
                </c:pt>
                <c:pt idx="1">
                  <c:v>114957.90000000002</c:v>
                </c:pt>
                <c:pt idx="2">
                  <c:v>98972.29999999996</c:v>
                </c:pt>
                <c:pt idx="3">
                  <c:v>4934</c:v>
                </c:pt>
                <c:pt idx="4">
                  <c:v>1859.6</c:v>
                </c:pt>
                <c:pt idx="5">
                  <c:v>13341.2</c:v>
                </c:pt>
                <c:pt idx="6">
                  <c:v>773.5</c:v>
                </c:pt>
                <c:pt idx="7">
                  <c:v>6662.800000000007</c:v>
                </c:pt>
              </c:numCache>
            </c:numRef>
          </c:val>
          <c:shape val="box"/>
        </c:ser>
        <c:shape val="box"/>
        <c:axId val="10324447"/>
        <c:axId val="51622568"/>
      </c:bar3DChart>
      <c:catAx>
        <c:axId val="10324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22568"/>
        <c:crosses val="autoZero"/>
        <c:auto val="1"/>
        <c:lblOffset val="100"/>
        <c:tickLblSkip val="1"/>
        <c:noMultiLvlLbl val="0"/>
      </c:catAx>
      <c:valAx>
        <c:axId val="51622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244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42251.299999999996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25962.699999999997</c:v>
                </c:pt>
                <c:pt idx="1">
                  <c:v>18866.5</c:v>
                </c:pt>
                <c:pt idx="2">
                  <c:v>1257.1000000000001</c:v>
                </c:pt>
                <c:pt idx="3">
                  <c:v>349.8</c:v>
                </c:pt>
                <c:pt idx="4">
                  <c:v>17</c:v>
                </c:pt>
                <c:pt idx="5">
                  <c:v>5472.2999999999965</c:v>
                </c:pt>
              </c:numCache>
            </c:numRef>
          </c:val>
          <c:shape val="box"/>
        </c:ser>
        <c:shape val="box"/>
        <c:axId val="56805225"/>
        <c:axId val="16672354"/>
      </c:bar3DChart>
      <c:catAx>
        <c:axId val="56805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72354"/>
        <c:crosses val="autoZero"/>
        <c:auto val="1"/>
        <c:lblOffset val="100"/>
        <c:tickLblSkip val="1"/>
        <c:noMultiLvlLbl val="0"/>
      </c:catAx>
      <c:valAx>
        <c:axId val="16672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052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8124.700000000003</c:v>
                </c:pt>
                <c:pt idx="1">
                  <c:v>5247.1</c:v>
                </c:pt>
                <c:pt idx="3">
                  <c:v>121.10000000000002</c:v>
                </c:pt>
                <c:pt idx="4">
                  <c:v>407.3000000000001</c:v>
                </c:pt>
                <c:pt idx="5">
                  <c:v>2349.200000000002</c:v>
                </c:pt>
              </c:numCache>
            </c:numRef>
          </c:val>
          <c:shape val="box"/>
        </c:ser>
        <c:shape val="box"/>
        <c:axId val="10800083"/>
        <c:axId val="11624956"/>
      </c:bar3DChart>
      <c:catAx>
        <c:axId val="10800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24956"/>
        <c:crosses val="autoZero"/>
        <c:auto val="1"/>
        <c:lblOffset val="100"/>
        <c:tickLblSkip val="2"/>
        <c:noMultiLvlLbl val="0"/>
      </c:catAx>
      <c:valAx>
        <c:axId val="116249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000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2147.8999999999996</c:v>
                </c:pt>
                <c:pt idx="1">
                  <c:v>816.8999999999999</c:v>
                </c:pt>
                <c:pt idx="2">
                  <c:v>183.60000000000002</c:v>
                </c:pt>
                <c:pt idx="3">
                  <c:v>240.60000000000002</c:v>
                </c:pt>
                <c:pt idx="4">
                  <c:v>805.1</c:v>
                </c:pt>
                <c:pt idx="5">
                  <c:v>101.69999999999959</c:v>
                </c:pt>
              </c:numCache>
            </c:numRef>
          </c:val>
          <c:shape val="box"/>
        </c:ser>
        <c:shape val="box"/>
        <c:axId val="58642717"/>
        <c:axId val="54300534"/>
      </c:bar3DChart>
      <c:catAx>
        <c:axId val="5864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00534"/>
        <c:crosses val="autoZero"/>
        <c:auto val="1"/>
        <c:lblOffset val="100"/>
        <c:tickLblSkip val="1"/>
        <c:noMultiLvlLbl val="0"/>
      </c:catAx>
      <c:valAx>
        <c:axId val="54300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427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34154.100000000006</c:v>
                </c:pt>
              </c:numCache>
            </c:numRef>
          </c:val>
          <c:shape val="box"/>
        </c:ser>
        <c:shape val="box"/>
        <c:axId val="8122695"/>
        <c:axId val="60340432"/>
      </c:bar3DChart>
      <c:catAx>
        <c:axId val="8122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340432"/>
        <c:crosses val="autoZero"/>
        <c:auto val="1"/>
        <c:lblOffset val="100"/>
        <c:tickLblSkip val="1"/>
        <c:noMultiLvlLbl val="0"/>
      </c:catAx>
      <c:valAx>
        <c:axId val="60340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226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339511.69999999995</c:v>
                </c:pt>
                <c:pt idx="1">
                  <c:v>226686.80000000002</c:v>
                </c:pt>
                <c:pt idx="2">
                  <c:v>42251.299999999996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48771.1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206566.2</c:v>
                </c:pt>
                <c:pt idx="1">
                  <c:v>126543.39999999997</c:v>
                </c:pt>
                <c:pt idx="2">
                  <c:v>25962.699999999997</c:v>
                </c:pt>
                <c:pt idx="3">
                  <c:v>8124.700000000003</c:v>
                </c:pt>
                <c:pt idx="4">
                  <c:v>2147.8999999999996</c:v>
                </c:pt>
                <c:pt idx="5">
                  <c:v>27233.5</c:v>
                </c:pt>
                <c:pt idx="6">
                  <c:v>34154.100000000006</c:v>
                </c:pt>
              </c:numCache>
            </c:numRef>
          </c:val>
          <c:shape val="box"/>
        </c:ser>
        <c:shape val="box"/>
        <c:axId val="16852561"/>
        <c:axId val="21071882"/>
      </c:bar3DChart>
      <c:catAx>
        <c:axId val="1685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71882"/>
        <c:crosses val="autoZero"/>
        <c:auto val="1"/>
        <c:lblOffset val="100"/>
        <c:tickLblSkip val="1"/>
        <c:noMultiLvlLbl val="0"/>
      </c:catAx>
      <c:valAx>
        <c:axId val="21071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525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фінансування'!$C$146:$C$151</c:f>
              <c:numCache>
                <c:ptCount val="6"/>
                <c:pt idx="0">
                  <c:v>507335.6</c:v>
                </c:pt>
                <c:pt idx="1">
                  <c:v>99365.7</c:v>
                </c:pt>
                <c:pt idx="2">
                  <c:v>25986.7</c:v>
                </c:pt>
                <c:pt idx="3">
                  <c:v>14369.800000000001</c:v>
                </c:pt>
                <c:pt idx="4">
                  <c:v>12818.7</c:v>
                </c:pt>
                <c:pt idx="5">
                  <c:v>236306.20000000007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фінансування'!$D$146:$D$151</c:f>
              <c:numCache>
                <c:ptCount val="6"/>
                <c:pt idx="0">
                  <c:v>308710.89999999997</c:v>
                </c:pt>
                <c:pt idx="1">
                  <c:v>56192.3</c:v>
                </c:pt>
                <c:pt idx="2">
                  <c:v>12345.8</c:v>
                </c:pt>
                <c:pt idx="3">
                  <c:v>5035.700000000001</c:v>
                </c:pt>
                <c:pt idx="4">
                  <c:v>4943.7</c:v>
                </c:pt>
                <c:pt idx="5">
                  <c:v>144011.00000000006</c:v>
                </c:pt>
              </c:numCache>
            </c:numRef>
          </c:val>
          <c:shape val="box"/>
        </c:ser>
        <c:shape val="box"/>
        <c:axId val="60246587"/>
        <c:axId val="11503396"/>
      </c:bar3DChart>
      <c:catAx>
        <c:axId val="6024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503396"/>
        <c:crosses val="autoZero"/>
        <c:auto val="1"/>
        <c:lblOffset val="100"/>
        <c:tickLblSkip val="1"/>
        <c:noMultiLvlLbl val="0"/>
      </c:catAx>
      <c:valAx>
        <c:axId val="115033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465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110</v>
      </c>
      <c r="C3" s="138" t="s">
        <v>102</v>
      </c>
      <c r="D3" s="138" t="s">
        <v>28</v>
      </c>
      <c r="E3" s="138" t="s">
        <v>27</v>
      </c>
      <c r="F3" s="138" t="s">
        <v>111</v>
      </c>
      <c r="G3" s="138" t="s">
        <v>103</v>
      </c>
      <c r="H3" s="138" t="s">
        <v>112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231487.4+3758.4</f>
        <v>235245.8</v>
      </c>
      <c r="C6" s="53">
        <f>336144.8+1363.8+2002.1+1+23261.5</f>
        <v>362773.19999999995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</f>
        <v>212096.09999999998</v>
      </c>
      <c r="E6" s="3">
        <f>D6/D145*100</f>
        <v>37.18722313989017</v>
      </c>
      <c r="F6" s="3">
        <f>D6/B6*100</f>
        <v>90.15935672390324</v>
      </c>
      <c r="G6" s="3">
        <f aca="true" t="shared" si="0" ref="G6:G43">D6/C6*100</f>
        <v>58.46520636033753</v>
      </c>
      <c r="H6" s="3">
        <f>B6-D6</f>
        <v>23149.70000000001</v>
      </c>
      <c r="I6" s="3">
        <f aca="true" t="shared" si="1" ref="I6:I43">C6-D6</f>
        <v>150677.09999999998</v>
      </c>
    </row>
    <row r="7" spans="1:9" s="44" customFormat="1" ht="18.75">
      <c r="A7" s="118" t="s">
        <v>105</v>
      </c>
      <c r="B7" s="109">
        <v>119017.1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</f>
        <v>108420.20000000001</v>
      </c>
      <c r="E7" s="107">
        <f>D7/D6*100</f>
        <v>51.118431692049036</v>
      </c>
      <c r="F7" s="107">
        <f>D7/B7*100</f>
        <v>91.09632145296769</v>
      </c>
      <c r="G7" s="107">
        <f>D7/C7*100</f>
        <v>62.33324364537843</v>
      </c>
      <c r="H7" s="107">
        <f>B7-D7</f>
        <v>10596.899999999994</v>
      </c>
      <c r="I7" s="107">
        <f t="shared" si="1"/>
        <v>65516.19999999998</v>
      </c>
    </row>
    <row r="8" spans="1:9" ht="18">
      <c r="A8" s="29" t="s">
        <v>3</v>
      </c>
      <c r="B8" s="49">
        <f>171004.1+3751.1</f>
        <v>174755.2</v>
      </c>
      <c r="C8" s="50">
        <f>251964.7+23254.2</f>
        <v>275218.9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</f>
        <v>162222.59999999998</v>
      </c>
      <c r="E8" s="1">
        <f>D8/D6*100</f>
        <v>76.48542335290465</v>
      </c>
      <c r="F8" s="1">
        <f>D8/B8*100</f>
        <v>92.82848235703428</v>
      </c>
      <c r="G8" s="1">
        <f t="shared" si="0"/>
        <v>58.943117641993325</v>
      </c>
      <c r="H8" s="1">
        <f>B8-D8</f>
        <v>12532.600000000035</v>
      </c>
      <c r="I8" s="1">
        <f t="shared" si="1"/>
        <v>112996.30000000005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0.3+0.2+0.7+0.8+2+0.3+3.5+1.2</f>
        <v>9</v>
      </c>
      <c r="E9" s="12">
        <f>D9/D6*100</f>
        <v>0.004243359496002049</v>
      </c>
      <c r="F9" s="136">
        <f>D9/B9*100</f>
        <v>35.714285714285715</v>
      </c>
      <c r="G9" s="1">
        <f t="shared" si="0"/>
        <v>19.91150442477876</v>
      </c>
      <c r="H9" s="1">
        <f aca="true" t="shared" si="2" ref="H9:H43">B9-D9</f>
        <v>16.2</v>
      </c>
      <c r="I9" s="1">
        <f t="shared" si="1"/>
        <v>36.2</v>
      </c>
    </row>
    <row r="10" spans="1:9" ht="18">
      <c r="A10" s="29" t="s">
        <v>1</v>
      </c>
      <c r="B10" s="49">
        <v>12920.9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</f>
        <v>10730.299999999997</v>
      </c>
      <c r="E10" s="1">
        <f>D10/D6*100</f>
        <v>5.0591689333278635</v>
      </c>
      <c r="F10" s="1">
        <f aca="true" t="shared" si="3" ref="F10:F41">D10/B10*100</f>
        <v>83.0460726419986</v>
      </c>
      <c r="G10" s="1">
        <f t="shared" si="0"/>
        <v>48.53231175597929</v>
      </c>
      <c r="H10" s="1">
        <f t="shared" si="2"/>
        <v>2190.600000000002</v>
      </c>
      <c r="I10" s="1">
        <f t="shared" si="1"/>
        <v>11379.300000000001</v>
      </c>
    </row>
    <row r="11" spans="1:9" ht="18">
      <c r="A11" s="29" t="s">
        <v>0</v>
      </c>
      <c r="B11" s="49">
        <v>44109.1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</f>
        <v>36914.20000000001</v>
      </c>
      <c r="E11" s="1">
        <f>D11/D6*100</f>
        <v>17.40446901192432</v>
      </c>
      <c r="F11" s="1">
        <f t="shared" si="3"/>
        <v>83.68839989934052</v>
      </c>
      <c r="G11" s="1">
        <f t="shared" si="0"/>
        <v>60.115070375973666</v>
      </c>
      <c r="H11" s="1">
        <f t="shared" si="2"/>
        <v>7194.899999999987</v>
      </c>
      <c r="I11" s="1">
        <f t="shared" si="1"/>
        <v>24491.699999999983</v>
      </c>
    </row>
    <row r="12" spans="1:9" ht="18">
      <c r="A12" s="29" t="s">
        <v>15</v>
      </c>
      <c r="B12" s="49">
        <v>247.4</v>
      </c>
      <c r="C12" s="50">
        <f>286.2+9.9</f>
        <v>296.09999999999997</v>
      </c>
      <c r="D12" s="51">
        <f>3.8+3.8+12.7+7.4+5+16.3+3.8+110.9+3.8+1.2+5.4+9.9+1.2+1.2</f>
        <v>186.39999999999998</v>
      </c>
      <c r="E12" s="1">
        <f>D12/D6*100</f>
        <v>0.08788469000608685</v>
      </c>
      <c r="F12" s="1">
        <f t="shared" si="3"/>
        <v>75.34357316087306</v>
      </c>
      <c r="G12" s="1">
        <f t="shared" si="0"/>
        <v>62.95170550489699</v>
      </c>
      <c r="H12" s="1">
        <f t="shared" si="2"/>
        <v>61.00000000000003</v>
      </c>
      <c r="I12" s="1">
        <f t="shared" si="1"/>
        <v>109.69999999999999</v>
      </c>
    </row>
    <row r="13" spans="1:9" ht="18.75" thickBot="1">
      <c r="A13" s="29" t="s">
        <v>34</v>
      </c>
      <c r="B13" s="50">
        <f>B6-B8-B9-B10-B11-B12</f>
        <v>3187.9999999999795</v>
      </c>
      <c r="C13" s="50">
        <f>C6-C8-C9-C10-C11-C12</f>
        <v>3697.4999999999404</v>
      </c>
      <c r="D13" s="50">
        <f>D6-D8-D9-D10-D11-D12</f>
        <v>2033.5999999999926</v>
      </c>
      <c r="E13" s="1">
        <f>D13/D6*100</f>
        <v>0.9588106523410818</v>
      </c>
      <c r="F13" s="1">
        <f t="shared" si="3"/>
        <v>63.78920953575927</v>
      </c>
      <c r="G13" s="1">
        <f t="shared" si="0"/>
        <v>54.99932386747871</v>
      </c>
      <c r="H13" s="1">
        <f t="shared" si="2"/>
        <v>1154.399999999987</v>
      </c>
      <c r="I13" s="1">
        <f t="shared" si="1"/>
        <v>1663.8999999999478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147912.5+5992.3</f>
        <v>153904.8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</f>
        <v>138546.89999999997</v>
      </c>
      <c r="E18" s="3">
        <f>D18/D145*100</f>
        <v>24.291698365222413</v>
      </c>
      <c r="F18" s="3">
        <f>D18/B18*100</f>
        <v>90.02116893040372</v>
      </c>
      <c r="G18" s="3">
        <f t="shared" si="0"/>
        <v>56.63926826396655</v>
      </c>
      <c r="H18" s="3">
        <f>B18-D18</f>
        <v>15357.900000000023</v>
      </c>
      <c r="I18" s="3">
        <f t="shared" si="1"/>
        <v>106065.90000000005</v>
      </c>
    </row>
    <row r="19" spans="1:9" s="44" customFormat="1" ht="18.75">
      <c r="A19" s="118" t="s">
        <v>106</v>
      </c>
      <c r="B19" s="109">
        <v>133737.8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</f>
        <v>123933.00000000001</v>
      </c>
      <c r="E19" s="107">
        <f>D19/D18*100</f>
        <v>89.45201949664701</v>
      </c>
      <c r="F19" s="107">
        <f t="shared" si="3"/>
        <v>92.66863968152612</v>
      </c>
      <c r="G19" s="107">
        <f t="shared" si="0"/>
        <v>66.44517025593076</v>
      </c>
      <c r="H19" s="107">
        <f t="shared" si="2"/>
        <v>9804.799999999974</v>
      </c>
      <c r="I19" s="107">
        <f t="shared" si="1"/>
        <v>62586.2</v>
      </c>
    </row>
    <row r="20" spans="1:9" ht="18">
      <c r="A20" s="29" t="s">
        <v>5</v>
      </c>
      <c r="B20" s="49">
        <f>113270.7+7175</f>
        <v>120445.7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</f>
        <v>109682.89999999995</v>
      </c>
      <c r="E20" s="1">
        <f>D20/D18*100</f>
        <v>79.16662155558875</v>
      </c>
      <c r="F20" s="1">
        <f t="shared" si="3"/>
        <v>91.06418909101774</v>
      </c>
      <c r="G20" s="1">
        <f t="shared" si="0"/>
        <v>57.46317880121605</v>
      </c>
      <c r="H20" s="1">
        <f t="shared" si="2"/>
        <v>10762.800000000047</v>
      </c>
      <c r="I20" s="1">
        <f t="shared" si="1"/>
        <v>81192.20000000006</v>
      </c>
    </row>
    <row r="21" spans="1:9" ht="18">
      <c r="A21" s="29" t="s">
        <v>2</v>
      </c>
      <c r="B21" s="49">
        <f>7853.6+143.1+81</f>
        <v>8077.700000000001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</f>
        <v>5553.4</v>
      </c>
      <c r="E21" s="1">
        <f>D21/D18*100</f>
        <v>4.0083177609892395</v>
      </c>
      <c r="F21" s="1">
        <f t="shared" si="3"/>
        <v>68.74976787947064</v>
      </c>
      <c r="G21" s="1">
        <f t="shared" si="0"/>
        <v>42.727335677409926</v>
      </c>
      <c r="H21" s="1">
        <f t="shared" si="2"/>
        <v>2524.300000000001</v>
      </c>
      <c r="I21" s="1">
        <f t="shared" si="1"/>
        <v>7443.9</v>
      </c>
    </row>
    <row r="22" spans="1:9" ht="18">
      <c r="A22" s="29" t="s">
        <v>1</v>
      </c>
      <c r="B22" s="49">
        <v>2134.6</v>
      </c>
      <c r="C22" s="50">
        <v>3253.3</v>
      </c>
      <c r="D22" s="51">
        <f>173.9+19+7.6+19.5+89.8+0.1+92.4+48.6+202.1+56.1+96.9+242.1+36.1+19.2+171.7+0.1+22.2+39+81.6+82+84.2+0.1+30.3-30.3+115.9+98.3+38+4.5+18.6+10.9+19.7+48.1+4+8.7</f>
        <v>1951</v>
      </c>
      <c r="E22" s="1">
        <f>D22/D18*100</f>
        <v>1.4081874080185126</v>
      </c>
      <c r="F22" s="1">
        <f t="shared" si="3"/>
        <v>91.39885692869859</v>
      </c>
      <c r="G22" s="1">
        <f t="shared" si="0"/>
        <v>59.96987674054037</v>
      </c>
      <c r="H22" s="1">
        <f t="shared" si="2"/>
        <v>183.5999999999999</v>
      </c>
      <c r="I22" s="1">
        <f t="shared" si="1"/>
        <v>1302.3000000000002</v>
      </c>
    </row>
    <row r="23" spans="1:9" ht="18">
      <c r="A23" s="29" t="s">
        <v>0</v>
      </c>
      <c r="B23" s="49">
        <f>14394.6+48.8-95</f>
        <v>14348.4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</f>
        <v>13555.9</v>
      </c>
      <c r="E23" s="1">
        <f>D23/D18*100</f>
        <v>9.78434017650341</v>
      </c>
      <c r="F23" s="1">
        <f t="shared" si="3"/>
        <v>94.47673608207187</v>
      </c>
      <c r="G23" s="1">
        <f t="shared" si="0"/>
        <v>52.90520235725715</v>
      </c>
      <c r="H23" s="1">
        <f t="shared" si="2"/>
        <v>792.5</v>
      </c>
      <c r="I23" s="1">
        <f t="shared" si="1"/>
        <v>12067.1</v>
      </c>
    </row>
    <row r="24" spans="1:9" ht="18">
      <c r="A24" s="29" t="s">
        <v>15</v>
      </c>
      <c r="B24" s="49">
        <v>903.1</v>
      </c>
      <c r="C24" s="50">
        <v>1528.1</v>
      </c>
      <c r="D24" s="51">
        <f>111+58.1+166.1+55.7+24.9+10.1-0.1+89.8+44.2+0.1+106.9+106.7+78.8+27.8</f>
        <v>880.0999999999999</v>
      </c>
      <c r="E24" s="1">
        <f>D24/D18*100</f>
        <v>0.6352361546884124</v>
      </c>
      <c r="F24" s="1">
        <f t="shared" si="3"/>
        <v>97.45321669804007</v>
      </c>
      <c r="G24" s="1">
        <f t="shared" si="0"/>
        <v>57.594398272364366</v>
      </c>
      <c r="H24" s="1">
        <f t="shared" si="2"/>
        <v>23.000000000000114</v>
      </c>
      <c r="I24" s="1">
        <f t="shared" si="1"/>
        <v>648</v>
      </c>
    </row>
    <row r="25" spans="1:9" ht="18.75" thickBot="1">
      <c r="A25" s="29" t="s">
        <v>34</v>
      </c>
      <c r="B25" s="50">
        <f>B18-B20-B21-B22-B23-B24</f>
        <v>7995.299999999992</v>
      </c>
      <c r="C25" s="50">
        <f>C18-C20-C21-C22-C23-C24</f>
        <v>10336.000000000005</v>
      </c>
      <c r="D25" s="50">
        <f>D18-D20-D21-D22-D23-D24</f>
        <v>6923.600000000013</v>
      </c>
      <c r="E25" s="1">
        <f>D25/D18*100</f>
        <v>4.997296944211682</v>
      </c>
      <c r="F25" s="1">
        <f t="shared" si="3"/>
        <v>86.59587507660775</v>
      </c>
      <c r="G25" s="1">
        <f t="shared" si="0"/>
        <v>66.98529411764716</v>
      </c>
      <c r="H25" s="1">
        <f t="shared" si="2"/>
        <v>1071.699999999979</v>
      </c>
      <c r="I25" s="1">
        <f t="shared" si="1"/>
        <v>3412.3999999999924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29620.7+459.6</f>
        <v>30080.3</v>
      </c>
      <c r="C33" s="53">
        <f>41831.7+164.1+250.5+5+2544.6</f>
        <v>44795.899999999994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</f>
        <v>26905.199999999997</v>
      </c>
      <c r="E33" s="3">
        <f>D33/D145*100</f>
        <v>4.717341224206259</v>
      </c>
      <c r="F33" s="3">
        <f>D33/B33*100</f>
        <v>89.44458665638308</v>
      </c>
      <c r="G33" s="3">
        <f t="shared" si="0"/>
        <v>60.06174672235629</v>
      </c>
      <c r="H33" s="3">
        <f t="shared" si="2"/>
        <v>3175.100000000002</v>
      </c>
      <c r="I33" s="3">
        <f t="shared" si="1"/>
        <v>17890.699999999997</v>
      </c>
    </row>
    <row r="34" spans="1:9" ht="18">
      <c r="A34" s="29" t="s">
        <v>3</v>
      </c>
      <c r="B34" s="49">
        <f>21012.9+459.6</f>
        <v>21472.5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</f>
        <v>19338.4</v>
      </c>
      <c r="E34" s="1">
        <f>D34/D33*100</f>
        <v>71.87606856667114</v>
      </c>
      <c r="F34" s="1">
        <f t="shared" si="3"/>
        <v>90.06124112236581</v>
      </c>
      <c r="G34" s="1">
        <f t="shared" si="0"/>
        <v>60.111280345652915</v>
      </c>
      <c r="H34" s="1">
        <f t="shared" si="2"/>
        <v>2134.0999999999985</v>
      </c>
      <c r="I34" s="1">
        <f t="shared" si="1"/>
        <v>12832.599999999999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1637.7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</f>
        <v>1260.2</v>
      </c>
      <c r="E36" s="1">
        <f>D36/D33*100</f>
        <v>4.683852935492024</v>
      </c>
      <c r="F36" s="1">
        <f t="shared" si="3"/>
        <v>76.94938022836905</v>
      </c>
      <c r="G36" s="1">
        <f t="shared" si="0"/>
        <v>47.12789827973074</v>
      </c>
      <c r="H36" s="1">
        <f t="shared" si="2"/>
        <v>377.5</v>
      </c>
      <c r="I36" s="1">
        <f t="shared" si="1"/>
        <v>1413.8</v>
      </c>
    </row>
    <row r="37" spans="1:9" s="44" customFormat="1" ht="18.75">
      <c r="A37" s="23" t="s">
        <v>7</v>
      </c>
      <c r="B37" s="58">
        <v>432.5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1.3001204228178942</v>
      </c>
      <c r="F37" s="19">
        <f t="shared" si="3"/>
        <v>80.87861271676302</v>
      </c>
      <c r="G37" s="19">
        <f t="shared" si="0"/>
        <v>67.85645004849661</v>
      </c>
      <c r="H37" s="19">
        <f t="shared" si="2"/>
        <v>82.69999999999999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0.06318481185793082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6500.599999999999</v>
      </c>
      <c r="C39" s="49">
        <f>C33-C34-C36-C37-C35-C38</f>
        <v>9388.199999999993</v>
      </c>
      <c r="D39" s="49">
        <f>D33-D34-D36-D37-D35-D38</f>
        <v>5939.799999999996</v>
      </c>
      <c r="E39" s="1">
        <f>D39/D33*100</f>
        <v>22.076773263161012</v>
      </c>
      <c r="F39" s="1">
        <f t="shared" si="3"/>
        <v>91.37310402116722</v>
      </c>
      <c r="G39" s="1">
        <f t="shared" si="0"/>
        <v>63.26878421848704</v>
      </c>
      <c r="H39" s="1">
        <f>B39-D39</f>
        <v>560.8000000000038</v>
      </c>
      <c r="I39" s="1">
        <f t="shared" si="1"/>
        <v>3448.399999999998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558.8</v>
      </c>
      <c r="C43" s="53">
        <f>768.4+32.5+15+3</f>
        <v>818.9</v>
      </c>
      <c r="D43" s="54">
        <f>17.7+12.2+11.2+51.1+0.8+30+0.1+18.9+27.3+43.7+9+5.4+5.6+7.8+24.4+6.4-0.1+26.1+70.2+6+6+27.3+26.1+5.1+3+1+25.2+2+11+3.6</f>
        <v>484.1</v>
      </c>
      <c r="E43" s="3">
        <f>D43/D145*100</f>
        <v>0.08487819776988278</v>
      </c>
      <c r="F43" s="3">
        <f>D43/B43*100</f>
        <v>86.6320687186829</v>
      </c>
      <c r="G43" s="3">
        <f t="shared" si="0"/>
        <v>59.1158871657101</v>
      </c>
      <c r="H43" s="3">
        <f t="shared" si="2"/>
        <v>74.69999999999993</v>
      </c>
      <c r="I43" s="3">
        <f t="shared" si="1"/>
        <v>334.79999999999995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4485.1+178</f>
        <v>4663.1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193+223+8.7+101.1+200.9+9+241+299.2+7.6+43.6+283.1+0.8+48.7+276.1+3.4+2.2+253.5+5+282+1.9+4.8+3.2+261.3+0.5+265.1+0.7+6.9+276.6+1.6+124.9+209.3+1.9+2.9+4.7+268.2+52.2+128+106.4</f>
        <v>4202.999999999999</v>
      </c>
      <c r="E45" s="3">
        <f>D45/D145*100</f>
        <v>0.7369201925776022</v>
      </c>
      <c r="F45" s="3">
        <f>D45/B45*100</f>
        <v>90.13317321095407</v>
      </c>
      <c r="G45" s="3">
        <f aca="true" t="shared" si="4" ref="G45:G75">D45/C45*100</f>
        <v>55.94675540765389</v>
      </c>
      <c r="H45" s="3">
        <f>B45-D45</f>
        <v>460.1000000000013</v>
      </c>
      <c r="I45" s="3">
        <f aca="true" t="shared" si="5" ref="I45:I76">C45-D45</f>
        <v>3309.500000000002</v>
      </c>
    </row>
    <row r="46" spans="1:9" ht="18">
      <c r="A46" s="29" t="s">
        <v>3</v>
      </c>
      <c r="B46" s="49">
        <f>3844.9+178</f>
        <v>4022.9</v>
      </c>
      <c r="C46" s="50">
        <f>5755.9+764.6</f>
        <v>6520.5</v>
      </c>
      <c r="D46" s="51">
        <f>193+222.7+1.6+196.4+240.9+0.1+199.7+265.9+214+253.1+238.6+255.9+243.9+273.5+83.6+206+267.9+52.2+106.2+102.2</f>
        <v>3617.3999999999996</v>
      </c>
      <c r="E46" s="1">
        <f>D46/D45*100</f>
        <v>86.0670949321913</v>
      </c>
      <c r="F46" s="1">
        <f aca="true" t="shared" si="6" ref="F46:F73">D46/B46*100</f>
        <v>89.9202068159785</v>
      </c>
      <c r="G46" s="1">
        <f t="shared" si="4"/>
        <v>55.47734069473199</v>
      </c>
      <c r="H46" s="1">
        <f aca="true" t="shared" si="7" ref="H46:H73">B46-D46</f>
        <v>405.50000000000045</v>
      </c>
      <c r="I46" s="1">
        <f t="shared" si="5"/>
        <v>2903.1000000000004</v>
      </c>
    </row>
    <row r="47" spans="1:9" ht="18">
      <c r="A47" s="29" t="s">
        <v>2</v>
      </c>
      <c r="B47" s="49">
        <v>1</v>
      </c>
      <c r="C47" s="50">
        <v>1.2</v>
      </c>
      <c r="D47" s="51">
        <f>0.3+0.4</f>
        <v>0.7</v>
      </c>
      <c r="E47" s="1">
        <f>D47/D45*100</f>
        <v>0.016654770402093746</v>
      </c>
      <c r="F47" s="1">
        <f t="shared" si="6"/>
        <v>70</v>
      </c>
      <c r="G47" s="1">
        <f t="shared" si="4"/>
        <v>58.333333333333336</v>
      </c>
      <c r="H47" s="1">
        <f t="shared" si="7"/>
        <v>0.30000000000000004</v>
      </c>
      <c r="I47" s="1">
        <f t="shared" si="5"/>
        <v>0.5</v>
      </c>
    </row>
    <row r="48" spans="1:9" ht="18">
      <c r="A48" s="29" t="s">
        <v>1</v>
      </c>
      <c r="B48" s="49">
        <v>39.4</v>
      </c>
      <c r="C48" s="50">
        <v>60.2</v>
      </c>
      <c r="D48" s="51">
        <f>3.8+1+5.7-0.1+1.3+4.1-0.1+4.6+1.1+4.8+5.5+2</f>
        <v>33.7</v>
      </c>
      <c r="E48" s="1">
        <f>D48/D45*100</f>
        <v>0.8018082322150847</v>
      </c>
      <c r="F48" s="1">
        <f t="shared" si="6"/>
        <v>85.53299492385787</v>
      </c>
      <c r="G48" s="1">
        <f t="shared" si="4"/>
        <v>55.98006644518273</v>
      </c>
      <c r="H48" s="1">
        <f t="shared" si="7"/>
        <v>5.699999999999996</v>
      </c>
      <c r="I48" s="1">
        <f t="shared" si="5"/>
        <v>26.5</v>
      </c>
    </row>
    <row r="49" spans="1:9" ht="18">
      <c r="A49" s="29" t="s">
        <v>0</v>
      </c>
      <c r="B49" s="49">
        <v>318.1</v>
      </c>
      <c r="C49" s="50">
        <v>538.3</v>
      </c>
      <c r="D49" s="51">
        <f>4.7+90.3+4.8+67.1+3.1+1.1+45.6+36.3+2.7+2+0.1+34.4+3.4+0.5+2.5+1.1+0.5+0.5+1.4+1.1</f>
        <v>303.19999999999993</v>
      </c>
      <c r="E49" s="1">
        <f>D49/D45*100</f>
        <v>7.213894837021176</v>
      </c>
      <c r="F49" s="1">
        <f t="shared" si="6"/>
        <v>95.3159383841559</v>
      </c>
      <c r="G49" s="1">
        <f t="shared" si="4"/>
        <v>56.32546906929221</v>
      </c>
      <c r="H49" s="1">
        <f t="shared" si="7"/>
        <v>14.900000000000091</v>
      </c>
      <c r="I49" s="1">
        <f t="shared" si="5"/>
        <v>235.10000000000002</v>
      </c>
    </row>
    <row r="50" spans="1:9" ht="18.75" thickBot="1">
      <c r="A50" s="29" t="s">
        <v>34</v>
      </c>
      <c r="B50" s="50">
        <f>B45-B46-B49-B48-B47</f>
        <v>281.7000000000003</v>
      </c>
      <c r="C50" s="50">
        <f>C45-C46-C49-C48-C47</f>
        <v>392.300000000001</v>
      </c>
      <c r="D50" s="50">
        <f>D45-D46-D49-D48-D47</f>
        <v>247.99999999999955</v>
      </c>
      <c r="E50" s="1">
        <f>D50/D45*100</f>
        <v>5.900547228170345</v>
      </c>
      <c r="F50" s="1">
        <f t="shared" si="6"/>
        <v>88.03691870784498</v>
      </c>
      <c r="G50" s="1">
        <f t="shared" si="4"/>
        <v>63.216925822074664</v>
      </c>
      <c r="H50" s="1">
        <f t="shared" si="7"/>
        <v>33.70000000000073</v>
      </c>
      <c r="I50" s="1">
        <f t="shared" si="5"/>
        <v>144.30000000000143</v>
      </c>
    </row>
    <row r="51" spans="1:9" ht="18.75" thickBot="1">
      <c r="A51" s="28" t="s">
        <v>4</v>
      </c>
      <c r="B51" s="52">
        <f>9491.7+83.6</f>
        <v>9575.300000000001</v>
      </c>
      <c r="C51" s="53">
        <f>13881+326.7+639.9</f>
        <v>14847.6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</f>
        <v>8421.800000000003</v>
      </c>
      <c r="E51" s="3">
        <f>D51/D145*100</f>
        <v>1.476610629990496</v>
      </c>
      <c r="F51" s="3">
        <f>D51/B51*100</f>
        <v>87.95338005075561</v>
      </c>
      <c r="G51" s="3">
        <f t="shared" si="4"/>
        <v>56.72162504377813</v>
      </c>
      <c r="H51" s="3">
        <f>B51-D51</f>
        <v>1153.4999999999982</v>
      </c>
      <c r="I51" s="3">
        <f t="shared" si="5"/>
        <v>6425.799999999997</v>
      </c>
    </row>
    <row r="52" spans="1:9" ht="18">
      <c r="A52" s="29" t="s">
        <v>3</v>
      </c>
      <c r="B52" s="49">
        <f>5755+83.6</f>
        <v>5838.6</v>
      </c>
      <c r="C52" s="50">
        <f>8729.1+639.9</f>
        <v>9369</v>
      </c>
      <c r="D52" s="51">
        <f>260.4+390.2+0.1+271.7+395.7-0.1+282.9+391.4+0.1+7.8+263.9+397.2+272.6+486-0.1+358+766.6-0.1+295.1+13.6+394.1+219.2</f>
        <v>5466.3</v>
      </c>
      <c r="E52" s="1">
        <f>D52/D51*100</f>
        <v>64.90655204350611</v>
      </c>
      <c r="F52" s="1">
        <f t="shared" si="6"/>
        <v>93.62347138012537</v>
      </c>
      <c r="G52" s="1">
        <f t="shared" si="4"/>
        <v>58.34454050592379</v>
      </c>
      <c r="H52" s="1">
        <f t="shared" si="7"/>
        <v>372.3000000000002</v>
      </c>
      <c r="I52" s="1">
        <f t="shared" si="5"/>
        <v>3902.7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160.1</v>
      </c>
      <c r="C54" s="50">
        <f>189.7+74</f>
        <v>263.7</v>
      </c>
      <c r="D54" s="51">
        <f>1.7+1.5+4.6+9.7+8-0.1+0.1+5.9+12.1+0.1+17.6+12.8+4+10.7+8.4+14.1+1.9+4.9+0.7+2.4+2.3</f>
        <v>123.40000000000002</v>
      </c>
      <c r="E54" s="1">
        <f>D54/D51*100</f>
        <v>1.4652449595098431</v>
      </c>
      <c r="F54" s="1">
        <f t="shared" si="6"/>
        <v>77.07682698313556</v>
      </c>
      <c r="G54" s="1">
        <f t="shared" si="4"/>
        <v>46.795601061812675</v>
      </c>
      <c r="H54" s="1">
        <f t="shared" si="7"/>
        <v>36.699999999999974</v>
      </c>
      <c r="I54" s="1">
        <f t="shared" si="5"/>
        <v>140.29999999999995</v>
      </c>
    </row>
    <row r="55" spans="1:9" ht="18">
      <c r="A55" s="29" t="s">
        <v>0</v>
      </c>
      <c r="B55" s="49">
        <v>431.4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</f>
        <v>408.7000000000001</v>
      </c>
      <c r="E55" s="1">
        <f>D55/D51*100</f>
        <v>4.852881806739651</v>
      </c>
      <c r="F55" s="1">
        <f t="shared" si="6"/>
        <v>94.73806212331945</v>
      </c>
      <c r="G55" s="1">
        <f t="shared" si="4"/>
        <v>57.52287121745251</v>
      </c>
      <c r="H55" s="1">
        <f t="shared" si="7"/>
        <v>22.699999999999875</v>
      </c>
      <c r="I55" s="1">
        <f t="shared" si="5"/>
        <v>301.7999999999999</v>
      </c>
    </row>
    <row r="56" spans="1:9" ht="18.75" thickBot="1">
      <c r="A56" s="29" t="s">
        <v>34</v>
      </c>
      <c r="B56" s="50">
        <f>B51-B52-B55-B54-B53</f>
        <v>3145.2000000000007</v>
      </c>
      <c r="C56" s="50">
        <f>C51-C52-C55-C54-C53</f>
        <v>4493.500000000001</v>
      </c>
      <c r="D56" s="50">
        <f>D51-D52-D55-D54-D53</f>
        <v>2423.4000000000024</v>
      </c>
      <c r="E56" s="1">
        <f>D56/D51*100</f>
        <v>28.775321190244384</v>
      </c>
      <c r="F56" s="1">
        <f t="shared" si="6"/>
        <v>77.05074399084324</v>
      </c>
      <c r="G56" s="1">
        <f t="shared" si="4"/>
        <v>53.931234004673456</v>
      </c>
      <c r="H56" s="1">
        <f t="shared" si="7"/>
        <v>721.7999999999984</v>
      </c>
      <c r="I56" s="1">
        <f>C56-D56</f>
        <v>2070.0999999999985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f>3866.6+1.8</f>
        <v>3868.4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</f>
        <v>2420.2</v>
      </c>
      <c r="E58" s="3">
        <f>D58/D145*100</f>
        <v>0.42433838926393364</v>
      </c>
      <c r="F58" s="3">
        <f>D58/B58*100</f>
        <v>62.56333367800641</v>
      </c>
      <c r="G58" s="3">
        <f t="shared" si="4"/>
        <v>43.0104851608317</v>
      </c>
      <c r="H58" s="3">
        <f>B58-D58</f>
        <v>1448.2000000000003</v>
      </c>
      <c r="I58" s="3">
        <f t="shared" si="5"/>
        <v>3206.8</v>
      </c>
    </row>
    <row r="59" spans="1:9" ht="18">
      <c r="A59" s="29" t="s">
        <v>3</v>
      </c>
      <c r="B59" s="49">
        <f>955.7+41</f>
        <v>996.7</v>
      </c>
      <c r="C59" s="50">
        <f>1426.1+141.2</f>
        <v>1567.3</v>
      </c>
      <c r="D59" s="51">
        <f>36.1+65.6+39.2+69.1+1.8+43+66+41.2+71.4+46.8+1.2+82.5+0.1+44.9+89.3+53.8+64.9+50.3</f>
        <v>867.1999999999998</v>
      </c>
      <c r="E59" s="1">
        <f>D59/D58*100</f>
        <v>35.831749442194855</v>
      </c>
      <c r="F59" s="1">
        <f t="shared" si="6"/>
        <v>87.00712350757497</v>
      </c>
      <c r="G59" s="1">
        <f t="shared" si="4"/>
        <v>55.330823709564214</v>
      </c>
      <c r="H59" s="1">
        <f t="shared" si="7"/>
        <v>129.50000000000023</v>
      </c>
      <c r="I59" s="1">
        <f t="shared" si="5"/>
        <v>700.1000000000001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</f>
        <v>235.3</v>
      </c>
      <c r="E60" s="1">
        <f>D60/D58*100</f>
        <v>9.722336996942403</v>
      </c>
      <c r="F60" s="1">
        <f>D60/B60*100</f>
        <v>78.45948649549851</v>
      </c>
      <c r="G60" s="1">
        <f t="shared" si="4"/>
        <v>78.45948649549851</v>
      </c>
      <c r="H60" s="1">
        <f t="shared" si="7"/>
        <v>64.59999999999997</v>
      </c>
      <c r="I60" s="1">
        <f t="shared" si="5"/>
        <v>64.59999999999997</v>
      </c>
    </row>
    <row r="61" spans="1:9" ht="18">
      <c r="A61" s="29" t="s">
        <v>0</v>
      </c>
      <c r="B61" s="49">
        <v>291.3</v>
      </c>
      <c r="C61" s="50">
        <f>420.8+44</f>
        <v>464.8</v>
      </c>
      <c r="D61" s="51">
        <f>1.3+56.1+4.9+63.5+3.5+0.7+63-0.1+10.3+25.7+2.8+0.3+7.3+0.2+1+0.1+0.3</f>
        <v>240.90000000000003</v>
      </c>
      <c r="E61" s="1">
        <f>D61/D58*100</f>
        <v>9.953722832823736</v>
      </c>
      <c r="F61" s="1">
        <f t="shared" si="6"/>
        <v>82.69824922760041</v>
      </c>
      <c r="G61" s="1">
        <f t="shared" si="4"/>
        <v>51.82874354561102</v>
      </c>
      <c r="H61" s="1">
        <f t="shared" si="7"/>
        <v>50.39999999999998</v>
      </c>
      <c r="I61" s="1">
        <f t="shared" si="5"/>
        <v>223.89999999999998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367.2+308.5+129.4+168.2</f>
        <v>973.3</v>
      </c>
      <c r="E62" s="1">
        <f>D62/D58*100</f>
        <v>40.21568465416082</v>
      </c>
      <c r="F62" s="1">
        <f>D62/B62*100</f>
        <v>46.57606354979183</v>
      </c>
      <c r="G62" s="1">
        <f t="shared" si="4"/>
        <v>31.501440269281805</v>
      </c>
      <c r="H62" s="1">
        <f t="shared" si="7"/>
        <v>1116.4000000000003</v>
      </c>
      <c r="I62" s="1">
        <f t="shared" si="5"/>
        <v>2116.4000000000005</v>
      </c>
    </row>
    <row r="63" spans="1:9" ht="18.75" thickBot="1">
      <c r="A63" s="29" t="s">
        <v>34</v>
      </c>
      <c r="B63" s="50">
        <f>B58-B59-B61-B62-B60</f>
        <v>190.7999999999994</v>
      </c>
      <c r="C63" s="50">
        <f>C58-C59-C61-C62-C60</f>
        <v>205.2999999999994</v>
      </c>
      <c r="D63" s="50">
        <f>D58-D59-D61-D62-D60</f>
        <v>103.49999999999994</v>
      </c>
      <c r="E63" s="1">
        <f>D63/D58*100</f>
        <v>4.27650607387819</v>
      </c>
      <c r="F63" s="1">
        <f t="shared" si="6"/>
        <v>54.24528301886807</v>
      </c>
      <c r="G63" s="1">
        <f t="shared" si="4"/>
        <v>50.41402825133963</v>
      </c>
      <c r="H63" s="1">
        <f t="shared" si="7"/>
        <v>87.29999999999944</v>
      </c>
      <c r="I63" s="1">
        <f t="shared" si="5"/>
        <v>101.79999999999944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316.8</v>
      </c>
      <c r="C68" s="53">
        <f>C69+C70</f>
        <v>405.6</v>
      </c>
      <c r="D68" s="54">
        <f>SUM(D69:D70)</f>
        <v>243.29999999999998</v>
      </c>
      <c r="E68" s="42">
        <f>D68/D145*100</f>
        <v>0.042658263824442225</v>
      </c>
      <c r="F68" s="111">
        <f>D68/B68*100</f>
        <v>76.79924242424242</v>
      </c>
      <c r="G68" s="3">
        <f t="shared" si="4"/>
        <v>59.98520710059171</v>
      </c>
      <c r="H68" s="3">
        <f>B68-D68</f>
        <v>73.50000000000003</v>
      </c>
      <c r="I68" s="3">
        <f t="shared" si="5"/>
        <v>162.30000000000004</v>
      </c>
    </row>
    <row r="69" spans="1:9" ht="18">
      <c r="A69" s="29" t="s">
        <v>8</v>
      </c>
      <c r="B69" s="49">
        <v>239.8</v>
      </c>
      <c r="C69" s="50">
        <f>250.3-5</f>
        <v>245.3</v>
      </c>
      <c r="D69" s="51">
        <f>0.2+12.6+73.3+85.8+22+1.3+2.3+2.7+1.6+2.5+7.9-0.2+3.6+5.1+14.9+0.1</f>
        <v>235.7</v>
      </c>
      <c r="E69" s="1">
        <f>D69/D68*100</f>
        <v>96.87628442252364</v>
      </c>
      <c r="F69" s="1">
        <f t="shared" si="6"/>
        <v>98.29024186822352</v>
      </c>
      <c r="G69" s="1">
        <f t="shared" si="4"/>
        <v>96.08642478597635</v>
      </c>
      <c r="H69" s="1">
        <f t="shared" si="7"/>
        <v>4.100000000000023</v>
      </c>
      <c r="I69" s="1">
        <f t="shared" si="5"/>
        <v>9.600000000000023</v>
      </c>
    </row>
    <row r="70" spans="1:9" ht="18.75" thickBot="1">
      <c r="A70" s="29" t="s">
        <v>9</v>
      </c>
      <c r="B70" s="49">
        <f>88-11</f>
        <v>77</v>
      </c>
      <c r="C70" s="50">
        <f>242.8-42.9-28.6-11</f>
        <v>160.3</v>
      </c>
      <c r="D70" s="51">
        <f>7.4+0.2</f>
        <v>7.6000000000000005</v>
      </c>
      <c r="E70" s="1">
        <f>D70/D69*100</f>
        <v>3.224437844717862</v>
      </c>
      <c r="F70" s="1">
        <f t="shared" si="6"/>
        <v>9.87012987012987</v>
      </c>
      <c r="G70" s="1">
        <f t="shared" si="4"/>
        <v>4.741110417966313</v>
      </c>
      <c r="H70" s="1">
        <f t="shared" si="7"/>
        <v>69.4</v>
      </c>
      <c r="I70" s="1">
        <f t="shared" si="5"/>
        <v>152.70000000000002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D71/D145*100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185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185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D78/D145*100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D83/D145*100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D86/D145*100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32788.9+37+369.9</f>
        <v>33195.8</v>
      </c>
      <c r="C89" s="53">
        <f>47925.9+539.6+110+168.6+27+1682.4</f>
        <v>50453.5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</f>
        <v>28803.699999999997</v>
      </c>
      <c r="E89" s="3">
        <f>D89/D145*100</f>
        <v>5.050208934320125</v>
      </c>
      <c r="F89" s="3">
        <f aca="true" t="shared" si="10" ref="F89:F95">D89/B89*100</f>
        <v>86.7691093451581</v>
      </c>
      <c r="G89" s="3">
        <f t="shared" si="8"/>
        <v>57.08959735201719</v>
      </c>
      <c r="H89" s="3">
        <f aca="true" t="shared" si="11" ref="H89:H95">B89-D89</f>
        <v>4392.100000000006</v>
      </c>
      <c r="I89" s="3">
        <f t="shared" si="9"/>
        <v>21649.800000000003</v>
      </c>
    </row>
    <row r="90" spans="1:9" ht="18">
      <c r="A90" s="29" t="s">
        <v>3</v>
      </c>
      <c r="B90" s="49">
        <f>26794.3+369.9</f>
        <v>27164.2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</f>
        <v>24629.500000000007</v>
      </c>
      <c r="E90" s="1">
        <f>D90/D89*100</f>
        <v>85.50811180508063</v>
      </c>
      <c r="F90" s="1">
        <f t="shared" si="10"/>
        <v>90.66896871617793</v>
      </c>
      <c r="G90" s="1">
        <f t="shared" si="8"/>
        <v>59.60615095691234</v>
      </c>
      <c r="H90" s="1">
        <f t="shared" si="11"/>
        <v>2534.6999999999935</v>
      </c>
      <c r="I90" s="1">
        <f t="shared" si="9"/>
        <v>16690.899999999994</v>
      </c>
    </row>
    <row r="91" spans="1:9" ht="18">
      <c r="A91" s="29" t="s">
        <v>32</v>
      </c>
      <c r="B91" s="49">
        <v>1447.3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</f>
        <v>1054.8</v>
      </c>
      <c r="E91" s="1">
        <f>D91/D89*100</f>
        <v>3.6620295309283186</v>
      </c>
      <c r="F91" s="1">
        <f t="shared" si="10"/>
        <v>72.88053617080081</v>
      </c>
      <c r="G91" s="1">
        <f t="shared" si="8"/>
        <v>40.96151605762883</v>
      </c>
      <c r="H91" s="1">
        <f t="shared" si="11"/>
        <v>392.5</v>
      </c>
      <c r="I91" s="1">
        <f t="shared" si="9"/>
        <v>1520.3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4584.300000000002</v>
      </c>
      <c r="C93" s="50">
        <f>C89-C90-C91-C92</f>
        <v>6557.999999999998</v>
      </c>
      <c r="D93" s="50">
        <f>D89-D90-D91-D92</f>
        <v>3119.3999999999896</v>
      </c>
      <c r="E93" s="1">
        <f>D93/D89*100</f>
        <v>10.82985866399105</v>
      </c>
      <c r="F93" s="1">
        <f t="shared" si="10"/>
        <v>68.04528499443728</v>
      </c>
      <c r="G93" s="1">
        <f>D93/C93*100</f>
        <v>47.56633119853599</v>
      </c>
      <c r="H93" s="1">
        <f t="shared" si="11"/>
        <v>1464.9000000000124</v>
      </c>
      <c r="I93" s="1">
        <f>C93-D93</f>
        <v>3438.6000000000085</v>
      </c>
    </row>
    <row r="94" spans="1:9" ht="18.75">
      <c r="A94" s="122" t="s">
        <v>12</v>
      </c>
      <c r="B94" s="127">
        <f>36444.6+830</f>
        <v>37274.6</v>
      </c>
      <c r="C94" s="129">
        <f>48638.3+1900-424+424+830</f>
        <v>51368.3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</f>
        <v>34524.60000000001</v>
      </c>
      <c r="E94" s="121">
        <f>D94/D145*100</f>
        <v>6.053265496232382</v>
      </c>
      <c r="F94" s="125">
        <f t="shared" si="10"/>
        <v>92.62232190285077</v>
      </c>
      <c r="G94" s="120">
        <f>D94/C94*100</f>
        <v>67.20993297422731</v>
      </c>
      <c r="H94" s="126">
        <f t="shared" si="11"/>
        <v>2749.9999999999854</v>
      </c>
      <c r="I94" s="121">
        <f>C94-D94</f>
        <v>16843.69999999999</v>
      </c>
    </row>
    <row r="95" spans="1:9" ht="18.75" thickBot="1">
      <c r="A95" s="123" t="s">
        <v>107</v>
      </c>
      <c r="B95" s="130">
        <v>3233</v>
      </c>
      <c r="C95" s="131">
        <f>4853.7+35</f>
        <v>4888.7</v>
      </c>
      <c r="D95" s="132">
        <f>600+69+9+48.5+2.5+299.7+50.5+190.4+1.3+10.6+6.7+53.3-0.1+0.9+266.8+7.4+4.8+52.9+0.1+200.2+15.7+7.1+5.9+55+13+150.2+100.5+23.9+52.6+56+166.1+18.9+16.3</f>
        <v>2555.7000000000003</v>
      </c>
      <c r="E95" s="133">
        <f>D95/D94*100</f>
        <v>7.402547748561893</v>
      </c>
      <c r="F95" s="134">
        <f t="shared" si="10"/>
        <v>79.05041756882154</v>
      </c>
      <c r="G95" s="135">
        <f>D95/C95*100</f>
        <v>52.27770163847241</v>
      </c>
      <c r="H95" s="124">
        <f t="shared" si="11"/>
        <v>677.2999999999997</v>
      </c>
      <c r="I95" s="96">
        <f>C95-D95</f>
        <v>2332.9999999999995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D97/D145*100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D99/D145*100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6391.6+3.8</f>
        <v>6395.400000000001</v>
      </c>
      <c r="C101" s="104">
        <f>6061.2+4589.8-16.4-3.1+0.1-234+3.8</f>
        <v>10401.4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</f>
        <v>3776.3999999999996</v>
      </c>
      <c r="E101" s="25">
        <f>D101/D145*100</f>
        <v>0.662123582024758</v>
      </c>
      <c r="F101" s="25">
        <f>D101/B101*100</f>
        <v>59.04869124683365</v>
      </c>
      <c r="G101" s="25">
        <f aca="true" t="shared" si="12" ref="G101:G143">D101/C101*100</f>
        <v>36.30665102774626</v>
      </c>
      <c r="H101" s="25">
        <f aca="true" t="shared" si="13" ref="H101:H106">B101-D101</f>
        <v>2619.000000000001</v>
      </c>
      <c r="I101" s="25">
        <f aca="true" t="shared" si="14" ref="I101:I143">C101-D101</f>
        <v>6625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f>5759.8-4.8</f>
        <v>5755</v>
      </c>
      <c r="C103" s="51">
        <f>5036.9+4586-16.4-3.1+0.1-234-4.8</f>
        <v>9364.7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</f>
        <v>3417.6000000000004</v>
      </c>
      <c r="E103" s="1">
        <f>D103/D101*100</f>
        <v>90.49888782967908</v>
      </c>
      <c r="F103" s="1">
        <f aca="true" t="shared" si="15" ref="F103:F143">D103/B103*100</f>
        <v>59.38488271068637</v>
      </c>
      <c r="G103" s="1">
        <f t="shared" si="12"/>
        <v>36.49449528548699</v>
      </c>
      <c r="H103" s="1">
        <f t="shared" si="13"/>
        <v>2337.3999999999996</v>
      </c>
      <c r="I103" s="1">
        <f t="shared" si="14"/>
        <v>5947.1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640.4000000000005</v>
      </c>
      <c r="C105" s="100">
        <f>C101-C102-C103</f>
        <v>1036.699999999999</v>
      </c>
      <c r="D105" s="100">
        <f>D101-D102-D103</f>
        <v>358.7999999999993</v>
      </c>
      <c r="E105" s="96">
        <f>D105/D101*100</f>
        <v>9.501112170320921</v>
      </c>
      <c r="F105" s="96">
        <f t="shared" si="15"/>
        <v>56.02748282323532</v>
      </c>
      <c r="G105" s="96">
        <f t="shared" si="12"/>
        <v>34.60981961994788</v>
      </c>
      <c r="H105" s="96">
        <f>B105-D105</f>
        <v>281.6000000000013</v>
      </c>
      <c r="I105" s="96">
        <f t="shared" si="14"/>
        <v>677.8999999999996</v>
      </c>
    </row>
    <row r="106" spans="1:9" s="2" customFormat="1" ht="26.25" customHeight="1" thickBot="1">
      <c r="A106" s="92" t="s">
        <v>35</v>
      </c>
      <c r="B106" s="93">
        <f>SUM(B107:B142)-B114-B118+B143-B134-B135-B108-B111-B121-B122-B132</f>
        <v>119072.79999999997</v>
      </c>
      <c r="C106" s="93">
        <f>SUM(C107:C142)-C114-C118+C143-C134-C135-C108-C111-C121-C122-C132</f>
        <v>173076.19999999998</v>
      </c>
      <c r="D106" s="93">
        <f>SUM(D107:D142)-D114-D118+D143-D134-D135-D108-D111-D121-D122-D132</f>
        <v>109921.40000000001</v>
      </c>
      <c r="E106" s="94">
        <f>D106/D145*100</f>
        <v>19.272733584677535</v>
      </c>
      <c r="F106" s="94">
        <f>D106/B106*100</f>
        <v>92.31444964761056</v>
      </c>
      <c r="G106" s="94">
        <f t="shared" si="12"/>
        <v>63.51040755459157</v>
      </c>
      <c r="H106" s="94">
        <f t="shared" si="13"/>
        <v>9151.399999999965</v>
      </c>
      <c r="I106" s="94">
        <f t="shared" si="14"/>
        <v>63154.799999999974</v>
      </c>
    </row>
    <row r="107" spans="1:9" ht="37.5">
      <c r="A107" s="34" t="s">
        <v>66</v>
      </c>
      <c r="B107" s="78">
        <v>1218.1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114.2+9+1.8-0.1+90.7+22.4+38.1+76.9+3.3+8.3+1.4+33.8+39+2.5+0.1+67.3+0.2+4+0.9+2.5+0.8+0.4+3.1+0.1+83.9+1.4+0.8+11.2+0.6+1.6+3.2+0.1+20.5+2.5+1.1+0.8+0.1+0.1+0.2+0.1+43.5+0.8+2.1+1+2.3+4.8+1.1+19.9+17.5+6.9+7.9+1.5+3.6</f>
        <v>761.8000000000001</v>
      </c>
      <c r="E107" s="6">
        <f>D107/D106*100</f>
        <v>0.6930406636014461</v>
      </c>
      <c r="F107" s="6">
        <f t="shared" si="15"/>
        <v>62.54002134471719</v>
      </c>
      <c r="G107" s="6">
        <f t="shared" si="12"/>
        <v>42.326925213912666</v>
      </c>
      <c r="H107" s="6">
        <f aca="true" t="shared" si="16" ref="H107:H143">B107-D107</f>
        <v>456.29999999999984</v>
      </c>
      <c r="I107" s="6">
        <f t="shared" si="14"/>
        <v>1038</v>
      </c>
    </row>
    <row r="108" spans="1:9" ht="18">
      <c r="A108" s="29" t="s">
        <v>32</v>
      </c>
      <c r="B108" s="81">
        <v>498.1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81.81088134912667</v>
      </c>
      <c r="G108" s="1">
        <f t="shared" si="12"/>
        <v>49.47189510744202</v>
      </c>
      <c r="H108" s="1">
        <f t="shared" si="16"/>
        <v>90.60000000000002</v>
      </c>
      <c r="I108" s="1">
        <f t="shared" si="14"/>
        <v>416.20000000000005</v>
      </c>
    </row>
    <row r="109" spans="1:9" ht="34.5" customHeight="1">
      <c r="A109" s="17" t="s">
        <v>99</v>
      </c>
      <c r="B109" s="80">
        <v>618</v>
      </c>
      <c r="C109" s="68">
        <v>903.8</v>
      </c>
      <c r="D109" s="79">
        <f>20.7+31.6+0.1+27.7-0.1+31.4+0.1+10.6+34.1+43.9+13.6</f>
        <v>213.7</v>
      </c>
      <c r="E109" s="6">
        <f>D109/D106*100</f>
        <v>0.19441164322870705</v>
      </c>
      <c r="F109" s="6">
        <f>D109/B109*100</f>
        <v>34.579288025889966</v>
      </c>
      <c r="G109" s="6">
        <f t="shared" si="12"/>
        <v>23.644611639743307</v>
      </c>
      <c r="H109" s="6">
        <f t="shared" si="16"/>
        <v>404.3</v>
      </c>
      <c r="I109" s="6">
        <f t="shared" si="14"/>
        <v>690.0999999999999</v>
      </c>
    </row>
    <row r="110" spans="1:9" s="44" customFormat="1" ht="34.5" customHeight="1">
      <c r="A110" s="17" t="s">
        <v>74</v>
      </c>
      <c r="B110" s="80">
        <v>62.7</v>
      </c>
      <c r="C110" s="60">
        <f>71.8+12.8</f>
        <v>84.6</v>
      </c>
      <c r="D110" s="83">
        <f>5.3+5.3+0.5+1.7+6+6</f>
        <v>24.799999999999997</v>
      </c>
      <c r="E110" s="6">
        <f>D110/D106*100</f>
        <v>0.02256157581690189</v>
      </c>
      <c r="F110" s="6">
        <f t="shared" si="15"/>
        <v>39.55342902711323</v>
      </c>
      <c r="G110" s="6">
        <f t="shared" si="12"/>
        <v>29.314420803782504</v>
      </c>
      <c r="H110" s="6">
        <f t="shared" si="16"/>
        <v>37.900000000000006</v>
      </c>
      <c r="I110" s="6">
        <f t="shared" si="14"/>
        <v>59.8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44.9</v>
      </c>
      <c r="C112" s="68">
        <v>67.4</v>
      </c>
      <c r="D112" s="79">
        <f>5.5+5.4+5.5+5.5+5.5+5.5-0.1+2.7+0.1+2.7</f>
        <v>38.300000000000004</v>
      </c>
      <c r="E112" s="6">
        <f>D112/D106*100</f>
        <v>0.03484307878174769</v>
      </c>
      <c r="F112" s="6">
        <f t="shared" si="15"/>
        <v>85.30066815144768</v>
      </c>
      <c r="G112" s="6">
        <f t="shared" si="12"/>
        <v>56.82492581602374</v>
      </c>
      <c r="H112" s="6">
        <f t="shared" si="16"/>
        <v>6.599999999999994</v>
      </c>
      <c r="I112" s="6">
        <f t="shared" si="14"/>
        <v>29.1</v>
      </c>
    </row>
    <row r="113" spans="1:9" ht="37.5">
      <c r="A113" s="17" t="s">
        <v>46</v>
      </c>
      <c r="B113" s="80">
        <v>1029.9</v>
      </c>
      <c r="C113" s="68">
        <v>1532.5</v>
      </c>
      <c r="D113" s="79">
        <f>96.4+0.6+6.3+86+10.4+21.5+5.3+0.1+11.6+102.1+10.6+3.5+5.6+100.7+13.3+0.9+3.6+96.9-0.1+15.7+1.7+1+96.8+0.1+4+1+0.2+1.2+96.6+0.3-0.1+8.6+0.3</f>
        <v>802.7000000000002</v>
      </c>
      <c r="E113" s="6">
        <f>D113/D106*100</f>
        <v>0.7302490688801271</v>
      </c>
      <c r="F113" s="6">
        <f t="shared" si="15"/>
        <v>77.93960578696961</v>
      </c>
      <c r="G113" s="6">
        <f t="shared" si="12"/>
        <v>52.37846655791192</v>
      </c>
      <c r="H113" s="6">
        <f t="shared" si="16"/>
        <v>227.19999999999993</v>
      </c>
      <c r="I113" s="6">
        <f t="shared" si="14"/>
        <v>729.7999999999998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0.032750674572922106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0.05376569075721378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154</v>
      </c>
      <c r="C117" s="60">
        <f>199.6+4.8</f>
        <v>204.4</v>
      </c>
      <c r="D117" s="79">
        <f>1.6+18.3+17.8+0.8+2.2+4+0.6+16.7+3.7+3.6+16.7+3.4+1.3+16.7+2.9+0.8+16.7+0.1+0.8+1.3+16.7+3.7</f>
        <v>150.4</v>
      </c>
      <c r="E117" s="6">
        <f>D117/D106*100</f>
        <v>0.13682504043798568</v>
      </c>
      <c r="F117" s="6">
        <f t="shared" si="15"/>
        <v>97.66233766233766</v>
      </c>
      <c r="G117" s="6">
        <f t="shared" si="12"/>
        <v>73.5812133072407</v>
      </c>
      <c r="H117" s="6">
        <f t="shared" si="16"/>
        <v>3.5999999999999943</v>
      </c>
      <c r="I117" s="6">
        <f t="shared" si="14"/>
        <v>54</v>
      </c>
    </row>
    <row r="118" spans="1:9" s="39" customFormat="1" ht="18">
      <c r="A118" s="40" t="s">
        <v>53</v>
      </c>
      <c r="B118" s="81">
        <v>117</v>
      </c>
      <c r="C118" s="51">
        <v>150.8</v>
      </c>
      <c r="D118" s="82">
        <f>16.7+16.7+16.7+16.7+16.7+16.7+16.7</f>
        <v>116.9</v>
      </c>
      <c r="E118" s="1"/>
      <c r="F118" s="1">
        <f t="shared" si="15"/>
        <v>99.91452991452991</v>
      </c>
      <c r="G118" s="1">
        <f t="shared" si="12"/>
        <v>77.51989389920423</v>
      </c>
      <c r="H118" s="1">
        <f t="shared" si="16"/>
        <v>0.09999999999999432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0.36234982451096875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44</v>
      </c>
      <c r="B120" s="80">
        <v>1251</v>
      </c>
      <c r="C120" s="60">
        <f>628+70+553</f>
        <v>1251</v>
      </c>
      <c r="D120" s="83">
        <f>110.6+553+71.8</f>
        <v>735.4</v>
      </c>
      <c r="E120" s="19">
        <f>D120/D106*100</f>
        <v>0.6690235022479699</v>
      </c>
      <c r="F120" s="6">
        <f t="shared" si="15"/>
        <v>58.784972022382085</v>
      </c>
      <c r="G120" s="6">
        <f t="shared" si="12"/>
        <v>58.784972022382085</v>
      </c>
      <c r="H120" s="6">
        <f t="shared" si="16"/>
        <v>515.6</v>
      </c>
      <c r="I120" s="6">
        <f t="shared" si="14"/>
        <v>515.6</v>
      </c>
    </row>
    <row r="121" spans="1:9" s="115" customFormat="1" ht="18">
      <c r="A121" s="29" t="s">
        <v>101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1614.1</v>
      </c>
      <c r="C123" s="60">
        <v>2933.8</v>
      </c>
      <c r="D123" s="83">
        <f>21+0.9+174.2+5+11.4+16.5-0.1+809.5+345.2+0.7</f>
        <v>1384.3000000000002</v>
      </c>
      <c r="E123" s="19">
        <f>D123/D106*100</f>
        <v>1.259354411424891</v>
      </c>
      <c r="F123" s="6">
        <f t="shared" si="15"/>
        <v>85.76296388080046</v>
      </c>
      <c r="G123" s="6">
        <f t="shared" si="12"/>
        <v>47.18453882336902</v>
      </c>
      <c r="H123" s="6">
        <f t="shared" si="16"/>
        <v>229.79999999999973</v>
      </c>
      <c r="I123" s="6">
        <f t="shared" si="14"/>
        <v>1549.5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0.11817535075062727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0.0018194819207178945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f>238.8-16.7</f>
        <v>222.10000000000002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222.10000000000002</v>
      </c>
      <c r="I126" s="6">
        <f t="shared" si="14"/>
        <v>332.3</v>
      </c>
    </row>
    <row r="127" spans="1:9" s="2" customFormat="1" ht="37.5">
      <c r="A127" s="17" t="s">
        <v>77</v>
      </c>
      <c r="B127" s="80">
        <v>743.3</v>
      </c>
      <c r="C127" s="60">
        <f>101.4+27.9+634</f>
        <v>763.3</v>
      </c>
      <c r="D127" s="83">
        <f>3+3+4.9+21.9-0.1+12.2+1.6+6.9+7.8+0.7+8.4+2.4+5+2.4+0.1+5.6+2.4+0.1+5+2.4+578.6</f>
        <v>674.3000000000001</v>
      </c>
      <c r="E127" s="19">
        <f>D127/D106*100</f>
        <v>0.6134383295700383</v>
      </c>
      <c r="F127" s="6">
        <f t="shared" si="15"/>
        <v>90.71707251446254</v>
      </c>
      <c r="G127" s="6">
        <f t="shared" si="12"/>
        <v>88.34010218786848</v>
      </c>
      <c r="H127" s="6">
        <f t="shared" si="16"/>
        <v>68.99999999999989</v>
      </c>
      <c r="I127" s="6">
        <f t="shared" si="14"/>
        <v>88.99999999999989</v>
      </c>
    </row>
    <row r="128" spans="1:9" s="2" customFormat="1" ht="18.75">
      <c r="A128" s="17" t="s">
        <v>71</v>
      </c>
      <c r="B128" s="80">
        <v>500.3</v>
      </c>
      <c r="C128" s="60">
        <v>650</v>
      </c>
      <c r="D128" s="83">
        <f>8.7+23.6+6.2+5.1+38.5+4.6+4.8+8.6+12.9+2.8+0.1+16.3+3+2.5+6.2-0.2+39.7+9.9+9.5+37.2+8.4+10.6+4.5+4.6+8.4</f>
        <v>276.5</v>
      </c>
      <c r="E128" s="19">
        <f>D128/D106*100</f>
        <v>0.25154337553924894</v>
      </c>
      <c r="F128" s="6">
        <f t="shared" si="15"/>
        <v>55.26683989606236</v>
      </c>
      <c r="G128" s="6">
        <f t="shared" si="12"/>
        <v>42.53846153846153</v>
      </c>
      <c r="H128" s="6">
        <f t="shared" si="16"/>
        <v>223.8</v>
      </c>
      <c r="I128" s="6">
        <f t="shared" si="14"/>
        <v>373.5</v>
      </c>
    </row>
    <row r="129" spans="1:9" s="2" customFormat="1" ht="35.25" customHeight="1">
      <c r="A129" s="17" t="s">
        <v>70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0.03202288180463495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72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108</v>
      </c>
      <c r="B131" s="80">
        <f>265.1+39.2</f>
        <v>304.3</v>
      </c>
      <c r="C131" s="60">
        <f>265.1+39.2</f>
        <v>304.3</v>
      </c>
      <c r="D131" s="83">
        <f>59.9+7.6+10.7+6.3+5.3+38.1+4+0.1+1.7+3.6+39.2+1.5+0.1+12.4+0.1</f>
        <v>190.6</v>
      </c>
      <c r="E131" s="19">
        <f>D131/D106*100</f>
        <v>0.17339662704441536</v>
      </c>
      <c r="F131" s="6">
        <f t="shared" si="15"/>
        <v>62.635557016102524</v>
      </c>
      <c r="G131" s="6">
        <f>D131/C131*100</f>
        <v>62.635557016102524</v>
      </c>
      <c r="H131" s="6">
        <f t="shared" si="16"/>
        <v>113.70000000000002</v>
      </c>
      <c r="I131" s="6">
        <f t="shared" si="14"/>
        <v>113.70000000000002</v>
      </c>
    </row>
    <row r="132" spans="1:9" s="39" customFormat="1" ht="18">
      <c r="A132" s="29" t="s">
        <v>32</v>
      </c>
      <c r="B132" s="81">
        <v>64.2</v>
      </c>
      <c r="C132" s="51">
        <v>64.2</v>
      </c>
      <c r="D132" s="82">
        <f>7.6+0.3+4.8+38.1+4+0.1+0.1+0.1+8.5</f>
        <v>63.6</v>
      </c>
      <c r="E132" s="1">
        <f>D132/D131*100</f>
        <v>33.36831059811123</v>
      </c>
      <c r="F132" s="1">
        <f t="shared" si="15"/>
        <v>99.06542056074767</v>
      </c>
      <c r="G132" s="1">
        <f>D132/C132*100</f>
        <v>99.06542056074767</v>
      </c>
      <c r="H132" s="1">
        <f t="shared" si="16"/>
        <v>0.6000000000000014</v>
      </c>
      <c r="I132" s="1">
        <f t="shared" si="14"/>
        <v>0.6000000000000014</v>
      </c>
    </row>
    <row r="133" spans="1:9" s="2" customFormat="1" ht="18.75">
      <c r="A133" s="17" t="s">
        <v>31</v>
      </c>
      <c r="B133" s="80">
        <v>654.9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21.9+41.8+0.1+6.1+26+3.6+0.1+41-0.1+21.3+6.2+7.1+43.4+4.5+8.8+48.5+7.5+32.1+0.1+41.9+8.4+5.1+33.1+1.3+25.6+4.3+48.8+5.3+25.6+1.9+53.3-0.1+30.8</f>
        <v>605.3</v>
      </c>
      <c r="E133" s="19">
        <f>D133/D106*100</f>
        <v>0.5506662033052708</v>
      </c>
      <c r="F133" s="6">
        <f t="shared" si="15"/>
        <v>92.42632462971446</v>
      </c>
      <c r="G133" s="6">
        <f t="shared" si="12"/>
        <v>61.40813634980217</v>
      </c>
      <c r="H133" s="6">
        <f t="shared" si="16"/>
        <v>49.60000000000002</v>
      </c>
      <c r="I133" s="6">
        <f t="shared" si="14"/>
        <v>380.4</v>
      </c>
    </row>
    <row r="134" spans="1:9" s="39" customFormat="1" ht="18">
      <c r="A134" s="40" t="s">
        <v>53</v>
      </c>
      <c r="B134" s="81">
        <v>570.3</v>
      </c>
      <c r="C134" s="51">
        <v>848.7</v>
      </c>
      <c r="D134" s="82">
        <f>21.9+39.7+0.1+6.1+19+41-0.1+21.3+43.3+8.5+32.3+32.1+41.5+4.2+33.1+25.6+47+0.1+25.6+53.3+26.2</f>
        <v>521.8000000000002</v>
      </c>
      <c r="E134" s="1">
        <f>D134/D133*100</f>
        <v>86.2051875103255</v>
      </c>
      <c r="F134" s="1">
        <f aca="true" t="shared" si="17" ref="F134:F142">D134/B134*100</f>
        <v>91.49570401543052</v>
      </c>
      <c r="G134" s="1">
        <f t="shared" si="12"/>
        <v>61.48226699658302</v>
      </c>
      <c r="H134" s="1">
        <f t="shared" si="16"/>
        <v>48.49999999999977</v>
      </c>
      <c r="I134" s="1">
        <f t="shared" si="14"/>
        <v>326.89999999999986</v>
      </c>
    </row>
    <row r="135" spans="1:9" s="39" customFormat="1" ht="18">
      <c r="A135" s="29" t="s">
        <v>32</v>
      </c>
      <c r="B135" s="81">
        <v>22.1</v>
      </c>
      <c r="C135" s="51">
        <v>26.3</v>
      </c>
      <c r="D135" s="82">
        <f>7+6+0.2+7.1+0.1+0.4+0.3+0.1+0.3+0.4</f>
        <v>21.9</v>
      </c>
      <c r="E135" s="1">
        <f>D135/D133*100</f>
        <v>3.6180406410044608</v>
      </c>
      <c r="F135" s="1">
        <f t="shared" si="17"/>
        <v>99.09502262443438</v>
      </c>
      <c r="G135" s="1">
        <f>D135/C135*100</f>
        <v>83.2699619771863</v>
      </c>
      <c r="H135" s="1">
        <f t="shared" si="16"/>
        <v>0.20000000000000284</v>
      </c>
      <c r="I135" s="1">
        <f t="shared" si="14"/>
        <v>4.400000000000002</v>
      </c>
    </row>
    <row r="136" spans="1:9" s="2" customFormat="1" ht="56.25">
      <c r="A136" s="23" t="s">
        <v>117</v>
      </c>
      <c r="B136" s="80">
        <v>200</v>
      </c>
      <c r="C136" s="60">
        <v>200</v>
      </c>
      <c r="D136" s="83">
        <v>200</v>
      </c>
      <c r="E136" s="19">
        <f>D136/D106*100</f>
        <v>0.18194819207178947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113</v>
      </c>
      <c r="B137" s="80">
        <v>427</v>
      </c>
      <c r="C137" s="60">
        <v>427</v>
      </c>
      <c r="D137" s="83"/>
      <c r="E137" s="19"/>
      <c r="F137" s="112">
        <f>D137/B137*100</f>
        <v>0</v>
      </c>
      <c r="G137" s="6">
        <f t="shared" si="12"/>
        <v>0</v>
      </c>
      <c r="H137" s="6">
        <f t="shared" si="16"/>
        <v>427</v>
      </c>
      <c r="I137" s="6">
        <f t="shared" si="14"/>
        <v>427</v>
      </c>
    </row>
    <row r="138" spans="1:9" s="2" customFormat="1" ht="18.75">
      <c r="A138" s="23" t="s">
        <v>114</v>
      </c>
      <c r="B138" s="80">
        <f>2550+1900</f>
        <v>4450</v>
      </c>
      <c r="C138" s="60">
        <f>6500-2076-424+9200</f>
        <v>13200</v>
      </c>
      <c r="D138" s="83">
        <f>241.3+64.6+48.1+278.9+170.1+140.9</f>
        <v>943.9</v>
      </c>
      <c r="E138" s="19">
        <f>D138/D106*100</f>
        <v>0.8587044924828103</v>
      </c>
      <c r="F138" s="112">
        <f t="shared" si="17"/>
        <v>21.21123595505618</v>
      </c>
      <c r="G138" s="6">
        <f t="shared" si="12"/>
        <v>7.150757575757575</v>
      </c>
      <c r="H138" s="6">
        <f t="shared" si="16"/>
        <v>3506.1</v>
      </c>
      <c r="I138" s="6">
        <f t="shared" si="14"/>
        <v>12256.1</v>
      </c>
    </row>
    <row r="139" spans="1:9" s="2" customFormat="1" ht="18.75">
      <c r="A139" s="23" t="s">
        <v>115</v>
      </c>
      <c r="B139" s="80">
        <v>3774.8</v>
      </c>
      <c r="C139" s="60">
        <f>6082.6-959.5</f>
        <v>5123.1</v>
      </c>
      <c r="D139" s="83">
        <f>626.1+43.8+40.3+236+112.9+11.4-0.1+68.6+570.3+22.4+44.4+39.9+585.7+199.1+14+103.1+2.3+286.9+158.5</f>
        <v>3165.6000000000004</v>
      </c>
      <c r="E139" s="19">
        <f>D139/D106*100</f>
        <v>2.879875984112284</v>
      </c>
      <c r="F139" s="112">
        <f t="shared" si="17"/>
        <v>83.86139663028506</v>
      </c>
      <c r="G139" s="6">
        <f t="shared" si="12"/>
        <v>61.79071265444751</v>
      </c>
      <c r="H139" s="6">
        <f t="shared" si="16"/>
        <v>609.1999999999998</v>
      </c>
      <c r="I139" s="6">
        <f t="shared" si="14"/>
        <v>1957.5</v>
      </c>
    </row>
    <row r="140" spans="1:9" s="2" customFormat="1" ht="18.75">
      <c r="A140" s="17" t="s">
        <v>118</v>
      </c>
      <c r="B140" s="80">
        <f>4188+2094</f>
        <v>6282</v>
      </c>
      <c r="C140" s="60">
        <v>8376</v>
      </c>
      <c r="D140" s="83">
        <f>2094+2094+2094</f>
        <v>6282</v>
      </c>
      <c r="E140" s="19">
        <f>D140/D106*100</f>
        <v>5.714992712974907</v>
      </c>
      <c r="F140" s="112">
        <f t="shared" si="17"/>
        <v>100</v>
      </c>
      <c r="G140" s="6">
        <f t="shared" si="12"/>
        <v>75</v>
      </c>
      <c r="H140" s="6">
        <f t="shared" si="16"/>
        <v>0</v>
      </c>
      <c r="I140" s="6">
        <f t="shared" si="14"/>
        <v>2094</v>
      </c>
    </row>
    <row r="141" spans="1:12" s="2" customFormat="1" ht="18.75" customHeight="1">
      <c r="A141" s="17" t="s">
        <v>98</v>
      </c>
      <c r="B141" s="80">
        <v>538.2</v>
      </c>
      <c r="C141" s="60">
        <v>538.2</v>
      </c>
      <c r="D141" s="83">
        <f>507.8+15.4+15</f>
        <v>538.2</v>
      </c>
      <c r="E141" s="19">
        <f>D141/D106*100</f>
        <v>0.4896225848651855</v>
      </c>
      <c r="F141" s="112">
        <f t="shared" si="17"/>
        <v>100</v>
      </c>
      <c r="G141" s="6">
        <f t="shared" si="12"/>
        <v>100</v>
      </c>
      <c r="H141" s="6">
        <f t="shared" si="16"/>
        <v>0</v>
      </c>
      <c r="I141" s="6">
        <f t="shared" si="14"/>
        <v>0</v>
      </c>
      <c r="K141" s="45"/>
      <c r="L141" s="45"/>
    </row>
    <row r="142" spans="1:12" s="2" customFormat="1" ht="19.5" customHeight="1">
      <c r="A142" s="17" t="s">
        <v>64</v>
      </c>
      <c r="B142" s="80">
        <f>72594.9+6122.7-50</f>
        <v>78667.59999999999</v>
      </c>
      <c r="C142" s="60">
        <f>91632.1+2530-27+23.1+959.5+13590.1</f>
        <v>108707.80000000002</v>
      </c>
      <c r="D142" s="83">
        <f>500.9+20883.8+13804+7506.8+2189.4+1247.6+18786.6+13748.5</f>
        <v>78667.6</v>
      </c>
      <c r="E142" s="19">
        <f>D142/D106*100</f>
        <v>71.56713797313353</v>
      </c>
      <c r="F142" s="6">
        <f t="shared" si="17"/>
        <v>100.00000000000003</v>
      </c>
      <c r="G142" s="6">
        <f t="shared" si="12"/>
        <v>72.36610436417625</v>
      </c>
      <c r="H142" s="6">
        <f t="shared" si="16"/>
        <v>0</v>
      </c>
      <c r="I142" s="6">
        <f t="shared" si="14"/>
        <v>30040.20000000001</v>
      </c>
      <c r="K142" s="103"/>
      <c r="L142" s="45"/>
    </row>
    <row r="143" spans="1:12" s="2" customFormat="1" ht="18.75">
      <c r="A143" s="17" t="s">
        <v>116</v>
      </c>
      <c r="B143" s="80">
        <f>12987.1+1855.3</f>
        <v>14842.4</v>
      </c>
      <c r="C143" s="60">
        <v>22263.4</v>
      </c>
      <c r="D143" s="83">
        <f>1236.9+618.4+618.4+618.4+618.5+618.4+618.4+618.5+618.4+618.4+618.5+618.4+618.4+618.5+618.4+618.4+618.5+618.4+618.4+618.5+618.4</f>
        <v>13605.499999999996</v>
      </c>
      <c r="E143" s="19">
        <f>D143/D106*100</f>
        <v>12.377480636163654</v>
      </c>
      <c r="F143" s="6">
        <f t="shared" si="15"/>
        <v>91.66644208483801</v>
      </c>
      <c r="G143" s="6">
        <f t="shared" si="12"/>
        <v>61.111510371281994</v>
      </c>
      <c r="H143" s="6">
        <f t="shared" si="16"/>
        <v>1236.9000000000033</v>
      </c>
      <c r="I143" s="6">
        <f t="shared" si="14"/>
        <v>8657.900000000005</v>
      </c>
      <c r="K143" s="45"/>
      <c r="L143" s="45"/>
    </row>
    <row r="144" spans="1:12" s="2" customFormat="1" ht="19.5" thickBot="1">
      <c r="A144" s="41" t="s">
        <v>36</v>
      </c>
      <c r="B144" s="84">
        <f>B43+B68+B71+B76+B78+B86+B101+B106+B99+B83+B97</f>
        <v>126528.79999999997</v>
      </c>
      <c r="C144" s="84">
        <f>C43+C68+C71+C76+C78+C86+C101+C106+C99+C83+C97</f>
        <v>185191.99999999997</v>
      </c>
      <c r="D144" s="60">
        <f>D43+D68+D71+D76+D78+D86+D101+D106+D99+D83+D97</f>
        <v>114425.20000000001</v>
      </c>
      <c r="E144" s="19"/>
      <c r="F144" s="19"/>
      <c r="G144" s="6"/>
      <c r="H144" s="6"/>
      <c r="I144" s="20"/>
      <c r="K144" s="45"/>
      <c r="L144" s="45"/>
    </row>
    <row r="145" spans="1:12" ht="19.5" thickBot="1">
      <c r="A145" s="14" t="s">
        <v>19</v>
      </c>
      <c r="B145" s="54">
        <f>B6+B18+B33+B43+B51+B58+B68+B71+B76+B78+B86+B89+B94+B101+B106+B99+B83+B97+B45</f>
        <v>634336.8999999999</v>
      </c>
      <c r="C145" s="54">
        <f>C6+C18+C33+C43+C51+C58+C68+C71+C76+C78+C86+C89+C94+C101+C106+C99+C83+C97+C45</f>
        <v>967182.8</v>
      </c>
      <c r="D145" s="54">
        <f>D6+D18+D33+D43+D51+D58+D68+D71+D76+D78+D86+D89+D94+D101+D106+D99+D83+D97+D45</f>
        <v>570346.7</v>
      </c>
      <c r="E145" s="38">
        <v>100</v>
      </c>
      <c r="F145" s="3">
        <f>D145/B145*100</f>
        <v>89.91226901666923</v>
      </c>
      <c r="G145" s="3">
        <f aca="true" t="shared" si="18" ref="G145:G151">D145/C145*100</f>
        <v>58.969896900565224</v>
      </c>
      <c r="H145" s="3">
        <f aca="true" t="shared" si="19" ref="H145:H151">B145-D145</f>
        <v>63990.19999999995</v>
      </c>
      <c r="I145" s="3">
        <f aca="true" t="shared" si="20" ref="I145:I151">C145-D145</f>
        <v>396836.1000000001</v>
      </c>
      <c r="K145" s="46"/>
      <c r="L145" s="47"/>
    </row>
    <row r="146" spans="1:12" ht="18.75">
      <c r="A146" s="23" t="s">
        <v>5</v>
      </c>
      <c r="B146" s="67">
        <f>B8+B20+B34+B52+B59+B90+B114+B118+B46+B134</f>
        <v>355383.10000000003</v>
      </c>
      <c r="C146" s="67">
        <f>C8+C20+C34+C52+C59+C90+C114+C118+C46+C134</f>
        <v>558041.7</v>
      </c>
      <c r="D146" s="67">
        <f>D8+D20+D34+D52+D59+D90+D114+D118+D46+D134</f>
        <v>326463</v>
      </c>
      <c r="E146" s="6">
        <f>D146/D145*100</f>
        <v>57.23939491540847</v>
      </c>
      <c r="F146" s="6">
        <f aca="true" t="shared" si="21" ref="F146:F157">D146/B146*100</f>
        <v>91.86227482398571</v>
      </c>
      <c r="G146" s="6">
        <f t="shared" si="18"/>
        <v>58.501542089058944</v>
      </c>
      <c r="H146" s="6">
        <f t="shared" si="19"/>
        <v>28920.100000000035</v>
      </c>
      <c r="I146" s="18">
        <f t="shared" si="20"/>
        <v>231578.69999999995</v>
      </c>
      <c r="K146" s="46"/>
      <c r="L146" s="47"/>
    </row>
    <row r="147" spans="1:12" ht="18.75">
      <c r="A147" s="23" t="s">
        <v>0</v>
      </c>
      <c r="B147" s="68">
        <f>B11+B23+B36+B55+B61+B91+B49+B135+B108+B111+B95+B132</f>
        <v>66400.7</v>
      </c>
      <c r="C147" s="68">
        <f>C11+C23+C36+C55+C61+C91+C49+C135+C108+C111+C95+C132</f>
        <v>99794.5</v>
      </c>
      <c r="D147" s="68">
        <f>D11+D23+D36+D55+D61+D91+D49+D135+D108+D111+D95+D132</f>
        <v>56786.600000000006</v>
      </c>
      <c r="E147" s="6">
        <f>D147/D145*100</f>
        <v>9.956505402766425</v>
      </c>
      <c r="F147" s="6">
        <f t="shared" si="21"/>
        <v>85.52108637408944</v>
      </c>
      <c r="G147" s="6">
        <f t="shared" si="18"/>
        <v>56.90353676805836</v>
      </c>
      <c r="H147" s="6">
        <f t="shared" si="19"/>
        <v>9614.099999999991</v>
      </c>
      <c r="I147" s="18">
        <f t="shared" si="20"/>
        <v>43007.899999999994</v>
      </c>
      <c r="K147" s="46"/>
      <c r="L147" s="102"/>
    </row>
    <row r="148" spans="1:12" ht="18.75">
      <c r="A148" s="23" t="s">
        <v>1</v>
      </c>
      <c r="B148" s="67">
        <f>B22+B10+B54+B48+B60+B35+B102+B122</f>
        <v>15554.9</v>
      </c>
      <c r="C148" s="67">
        <f>C22+C10+C54+C48+C60+C35+C102+C122</f>
        <v>25986.7</v>
      </c>
      <c r="D148" s="67">
        <f>D22+D10+D54+D48+D60+D35+D102+D122</f>
        <v>13073.699999999997</v>
      </c>
      <c r="E148" s="6">
        <f>D148/D145*100</f>
        <v>2.2922373356416363</v>
      </c>
      <c r="F148" s="6">
        <f t="shared" si="21"/>
        <v>84.04875634044576</v>
      </c>
      <c r="G148" s="6">
        <f t="shared" si="18"/>
        <v>50.30919662750559</v>
      </c>
      <c r="H148" s="6">
        <f t="shared" si="19"/>
        <v>2481.2000000000025</v>
      </c>
      <c r="I148" s="18">
        <f t="shared" si="20"/>
        <v>12913.000000000004</v>
      </c>
      <c r="K148" s="46"/>
      <c r="L148" s="47"/>
    </row>
    <row r="149" spans="1:12" ht="21" customHeight="1">
      <c r="A149" s="23" t="s">
        <v>15</v>
      </c>
      <c r="B149" s="67">
        <f>B12+B24+B103+B62+B38+B92</f>
        <v>9032.2</v>
      </c>
      <c r="C149" s="67">
        <f>C12+C24+C103+C62+C38+C92</f>
        <v>14325.800000000003</v>
      </c>
      <c r="D149" s="67">
        <f>D12+D24+D103+D62+D38+D92</f>
        <v>5474.400000000001</v>
      </c>
      <c r="E149" s="6">
        <f>D149/D145*100</f>
        <v>0.9598372358426902</v>
      </c>
      <c r="F149" s="6">
        <f t="shared" si="21"/>
        <v>60.609818205974186</v>
      </c>
      <c r="G149" s="6">
        <f t="shared" si="18"/>
        <v>38.21357271496181</v>
      </c>
      <c r="H149" s="6">
        <f t="shared" si="19"/>
        <v>3557.8</v>
      </c>
      <c r="I149" s="18">
        <f t="shared" si="20"/>
        <v>8851.400000000001</v>
      </c>
      <c r="K149" s="46"/>
      <c r="L149" s="102"/>
    </row>
    <row r="150" spans="1:12" ht="18.75">
      <c r="A150" s="23" t="s">
        <v>2</v>
      </c>
      <c r="B150" s="67">
        <f>B9+B21+B47+B53+B121</f>
        <v>8173.900000000001</v>
      </c>
      <c r="C150" s="67">
        <f>C9+C21+C47+C53+C121</f>
        <v>13124.6</v>
      </c>
      <c r="D150" s="67">
        <f>D9+D21+D47+D53+D121</f>
        <v>5563.099999999999</v>
      </c>
      <c r="E150" s="6">
        <f>D150/D145*100</f>
        <v>0.9753891799496692</v>
      </c>
      <c r="F150" s="6">
        <f t="shared" si="21"/>
        <v>68.05931073294265</v>
      </c>
      <c r="G150" s="6">
        <f t="shared" si="18"/>
        <v>42.386815598189656</v>
      </c>
      <c r="H150" s="6">
        <f t="shared" si="19"/>
        <v>2610.800000000001</v>
      </c>
      <c r="I150" s="18">
        <f t="shared" si="20"/>
        <v>7561.500000000001</v>
      </c>
      <c r="K150" s="46"/>
      <c r="L150" s="47"/>
    </row>
    <row r="151" spans="1:12" ht="19.5" thickBot="1">
      <c r="A151" s="23" t="s">
        <v>34</v>
      </c>
      <c r="B151" s="67">
        <f>B145-B146-B147-B148-B149-B150</f>
        <v>179792.09999999986</v>
      </c>
      <c r="C151" s="67">
        <f>C145-C146-C147-C148-C149-C150</f>
        <v>255909.5000000001</v>
      </c>
      <c r="D151" s="67">
        <f>D145-D146-D147-D148-D149-D150</f>
        <v>162985.89999999997</v>
      </c>
      <c r="E151" s="6">
        <f>D151/D145*100</f>
        <v>28.57663593039111</v>
      </c>
      <c r="F151" s="6">
        <f t="shared" si="21"/>
        <v>90.65242577399123</v>
      </c>
      <c r="G151" s="43">
        <f t="shared" si="18"/>
        <v>63.68888220249733</v>
      </c>
      <c r="H151" s="6">
        <f t="shared" si="19"/>
        <v>16806.199999999895</v>
      </c>
      <c r="I151" s="6">
        <f t="shared" si="20"/>
        <v>92923.60000000012</v>
      </c>
      <c r="K151" s="46"/>
      <c r="L151" s="102"/>
    </row>
    <row r="152" spans="1:12" ht="5.25" customHeight="1" thickBot="1">
      <c r="A152" s="35"/>
      <c r="B152" s="85"/>
      <c r="C152" s="86"/>
      <c r="D152" s="86"/>
      <c r="E152" s="21"/>
      <c r="F152" s="21"/>
      <c r="G152" s="21"/>
      <c r="H152" s="21"/>
      <c r="I152" s="22"/>
      <c r="K152" s="46"/>
      <c r="L152" s="46"/>
    </row>
    <row r="153" spans="1:12" ht="18.75">
      <c r="A153" s="32" t="s">
        <v>21</v>
      </c>
      <c r="B153" s="87">
        <v>16653.2</v>
      </c>
      <c r="C153" s="73">
        <f>3301.9+496+14356.4</f>
        <v>18154.3</v>
      </c>
      <c r="D153" s="73">
        <f>288.1+1522.4+951.8+530.2+8.8+0.5+0.1+495.9+10.6+101+174.6+2.1+509.4+15+8.4+488.4+154.3+94.8+166.1+65.8+286.9+80.4+239.8+10.1+12.9+335.6+111.7</f>
        <v>6665.7</v>
      </c>
      <c r="E153" s="15"/>
      <c r="F153" s="6">
        <f t="shared" si="21"/>
        <v>40.02654144548795</v>
      </c>
      <c r="G153" s="6">
        <f aca="true" t="shared" si="22" ref="G153:G162">D153/C153*100</f>
        <v>36.71692106002435</v>
      </c>
      <c r="H153" s="6">
        <f>B153-D153</f>
        <v>9987.5</v>
      </c>
      <c r="I153" s="6">
        <f aca="true" t="shared" si="23" ref="I153:I162">C153-D153</f>
        <v>11488.599999999999</v>
      </c>
      <c r="K153" s="46"/>
      <c r="L153" s="46"/>
    </row>
    <row r="154" spans="1:12" ht="18.75">
      <c r="A154" s="23" t="s">
        <v>22</v>
      </c>
      <c r="B154" s="88">
        <f>10210.3+100+280+2027.5-195</f>
        <v>12422.8</v>
      </c>
      <c r="C154" s="67">
        <f>16860.5-195</f>
        <v>16665.5</v>
      </c>
      <c r="D154" s="67">
        <f>132.1+649.5+498.6+2.9+146.5+119.3+11.1+935+701.6+2.9+12.3-0.1+18.6+43.3+39.7+94+282.1+33.2</f>
        <v>3722.6</v>
      </c>
      <c r="E154" s="6"/>
      <c r="F154" s="6">
        <f t="shared" si="21"/>
        <v>29.96586920823003</v>
      </c>
      <c r="G154" s="6">
        <f t="shared" si="22"/>
        <v>22.3371636014521</v>
      </c>
      <c r="H154" s="6">
        <f aca="true" t="shared" si="24" ref="H154:H161">B154-D154</f>
        <v>8700.199999999999</v>
      </c>
      <c r="I154" s="6">
        <f t="shared" si="23"/>
        <v>12942.9</v>
      </c>
      <c r="K154" s="46"/>
      <c r="L154" s="46"/>
    </row>
    <row r="155" spans="1:12" ht="18.75">
      <c r="A155" s="23" t="s">
        <v>60</v>
      </c>
      <c r="B155" s="88">
        <f>103951-280+40608.6+6317.7</f>
        <v>150597.30000000002</v>
      </c>
      <c r="C155" s="67">
        <f>105956.2+2530+90940.5+959.5+13785.1</f>
        <v>214171.30000000002</v>
      </c>
      <c r="D155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</f>
        <v>28495.200000000008</v>
      </c>
      <c r="E155" s="6"/>
      <c r="F155" s="6">
        <f t="shared" si="21"/>
        <v>18.92145476711734</v>
      </c>
      <c r="G155" s="6">
        <f t="shared" si="22"/>
        <v>13.304863910337195</v>
      </c>
      <c r="H155" s="6">
        <f t="shared" si="24"/>
        <v>122102.1</v>
      </c>
      <c r="I155" s="6">
        <f t="shared" si="23"/>
        <v>185676.1</v>
      </c>
      <c r="K155" s="46"/>
      <c r="L155" s="46"/>
    </row>
    <row r="156" spans="1:12" ht="37.5">
      <c r="A156" s="23" t="s">
        <v>69</v>
      </c>
      <c r="B156" s="88">
        <v>309.4</v>
      </c>
      <c r="C156" s="67">
        <v>509.4</v>
      </c>
      <c r="D156" s="67">
        <f>309.4</f>
        <v>309.4</v>
      </c>
      <c r="E156" s="6"/>
      <c r="F156" s="6">
        <f t="shared" si="21"/>
        <v>100</v>
      </c>
      <c r="G156" s="6">
        <f t="shared" si="22"/>
        <v>60.73812328229289</v>
      </c>
      <c r="H156" s="6">
        <f t="shared" si="24"/>
        <v>0</v>
      </c>
      <c r="I156" s="6">
        <f t="shared" si="23"/>
        <v>200</v>
      </c>
      <c r="K156" s="46"/>
      <c r="L156" s="46"/>
    </row>
    <row r="157" spans="1:12" ht="18.75">
      <c r="A157" s="23" t="s">
        <v>13</v>
      </c>
      <c r="B157" s="88">
        <v>12600.4</v>
      </c>
      <c r="C157" s="67">
        <f>54+13623.4</f>
        <v>13677.4</v>
      </c>
      <c r="D157" s="67">
        <f>5.2+5.1+225.1+114.9+40.2+5.2+4.6+89.9+13.6+4.1+10.7+98.5+1634+39</f>
        <v>2290.1000000000004</v>
      </c>
      <c r="E157" s="19"/>
      <c r="F157" s="6">
        <f t="shared" si="21"/>
        <v>18.17481984698899</v>
      </c>
      <c r="G157" s="6">
        <f t="shared" si="22"/>
        <v>16.743679354263243</v>
      </c>
      <c r="H157" s="6">
        <f t="shared" si="24"/>
        <v>10310.3</v>
      </c>
      <c r="I157" s="6">
        <f t="shared" si="23"/>
        <v>11387.3</v>
      </c>
      <c r="K157" s="46"/>
      <c r="L157" s="46"/>
    </row>
    <row r="158" spans="1:12" ht="18.75" hidden="1">
      <c r="A158" s="23" t="s">
        <v>26</v>
      </c>
      <c r="B158" s="88"/>
      <c r="C158" s="67"/>
      <c r="D158" s="67"/>
      <c r="E158" s="19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  <c r="K158" s="46"/>
      <c r="L158" s="46"/>
    </row>
    <row r="159" spans="1:9" ht="18.75">
      <c r="A159" s="23" t="s">
        <v>52</v>
      </c>
      <c r="B159" s="88">
        <v>841.5</v>
      </c>
      <c r="C159" s="67">
        <f>1212+158.6</f>
        <v>1370.6</v>
      </c>
      <c r="D159" s="67">
        <f>15.4+25.9+416.9+18.7+17.6</f>
        <v>494.5</v>
      </c>
      <c r="E159" s="19"/>
      <c r="F159" s="6">
        <f>D159/B159*100</f>
        <v>58.76411170528818</v>
      </c>
      <c r="G159" s="6">
        <f t="shared" si="22"/>
        <v>36.079089449875966</v>
      </c>
      <c r="H159" s="6">
        <f t="shared" si="24"/>
        <v>347</v>
      </c>
      <c r="I159" s="6">
        <f t="shared" si="23"/>
        <v>876.0999999999999</v>
      </c>
    </row>
    <row r="160" spans="1:9" ht="19.5" customHeight="1">
      <c r="A160" s="23" t="s">
        <v>67</v>
      </c>
      <c r="B160" s="88">
        <v>307.6</v>
      </c>
      <c r="C160" s="67">
        <v>307.6</v>
      </c>
      <c r="D160" s="67"/>
      <c r="E160" s="19"/>
      <c r="F160" s="6">
        <f>D160/B160*100</f>
        <v>0</v>
      </c>
      <c r="G160" s="6">
        <f t="shared" si="22"/>
        <v>0</v>
      </c>
      <c r="H160" s="6">
        <f t="shared" si="24"/>
        <v>307.6</v>
      </c>
      <c r="I160" s="6">
        <f t="shared" si="23"/>
        <v>307.6</v>
      </c>
    </row>
    <row r="161" spans="1:9" ht="19.5" thickBot="1">
      <c r="A161" s="23" t="s">
        <v>61</v>
      </c>
      <c r="B161" s="88">
        <v>3718.8</v>
      </c>
      <c r="C161" s="89">
        <v>3718.8</v>
      </c>
      <c r="D161" s="89">
        <f>98.8+11.3+146.1+110.9-0.1+10.1+85.3+20.5+418+104.6+257.6+46.9+315.7+1.5+1.4+47.1+128.3+440+24.2+62.6+0.1+90.4+1.3+111.4</f>
        <v>2534</v>
      </c>
      <c r="E161" s="24"/>
      <c r="F161" s="6">
        <f>D161/B161*100</f>
        <v>68.14026029902118</v>
      </c>
      <c r="G161" s="6">
        <f t="shared" si="22"/>
        <v>68.14026029902118</v>
      </c>
      <c r="H161" s="6">
        <f t="shared" si="24"/>
        <v>1184.8000000000002</v>
      </c>
      <c r="I161" s="6">
        <f t="shared" si="23"/>
        <v>1184.8000000000002</v>
      </c>
    </row>
    <row r="162" spans="1:9" ht="19.5" thickBot="1">
      <c r="A162" s="14" t="s">
        <v>20</v>
      </c>
      <c r="B162" s="90">
        <f>B145+B153+B157+B158+B154+B161+B160+B155+B159+B156</f>
        <v>831787.9</v>
      </c>
      <c r="C162" s="90">
        <f>C145+C153+C157+C158+C154+C161+C160+C155+C159+C156</f>
        <v>1235757.7000000002</v>
      </c>
      <c r="D162" s="90">
        <f>D145+D153+D157+D158+D154+D161+D160+D155+D159+D156</f>
        <v>614858.1999999998</v>
      </c>
      <c r="E162" s="25"/>
      <c r="F162" s="3">
        <f>D162/B162*100</f>
        <v>73.92007024867756</v>
      </c>
      <c r="G162" s="3">
        <f t="shared" si="22"/>
        <v>49.7555629230552</v>
      </c>
      <c r="H162" s="3">
        <f>B162-D162</f>
        <v>216929.7000000002</v>
      </c>
      <c r="I162" s="3">
        <f t="shared" si="23"/>
        <v>620899.5000000003</v>
      </c>
    </row>
    <row r="163" spans="7:8" ht="12.75">
      <c r="G163" s="26"/>
      <c r="H163" s="26"/>
    </row>
    <row r="164" spans="7:9" ht="12.75">
      <c r="G164" s="26"/>
      <c r="H164" s="26"/>
      <c r="I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570346.7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570346.7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2015-08-03T09:10:01Z</cp:lastPrinted>
  <dcterms:created xsi:type="dcterms:W3CDTF">2000-06-20T04:48:00Z</dcterms:created>
  <dcterms:modified xsi:type="dcterms:W3CDTF">2015-08-17T07:22:48Z</dcterms:modified>
  <cp:category/>
  <cp:version/>
  <cp:contentType/>
  <cp:contentStatus/>
</cp:coreProperties>
</file>